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2"/>
  </bookViews>
  <sheets>
    <sheet name="субвенция на вырав.из РК" sheetId="4" r:id="rId1"/>
    <sheet name="Расчет ИБР" sheetId="3" r:id="rId2"/>
    <sheet name="Расчет дотации" sheetId="1" r:id="rId3"/>
    <sheet name="Лист2" sheetId="2" r:id="rId4"/>
  </sheets>
  <definedNames>
    <definedName name="_xlnm.Print_Area" localSheetId="2">'Расчет дотации'!$A$1:$V$25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23" i="1" l="1"/>
  <c r="V22" i="1"/>
  <c r="V21" i="1"/>
  <c r="V20" i="1"/>
  <c r="V19" i="1"/>
  <c r="S21" i="1"/>
  <c r="R21" i="1"/>
  <c r="G19" i="1" l="1"/>
  <c r="G8" i="1"/>
  <c r="K22" i="1" s="1"/>
  <c r="O19" i="1"/>
  <c r="O25" i="1"/>
  <c r="O23" i="1"/>
  <c r="O22" i="1"/>
  <c r="O21" i="1"/>
  <c r="O20" i="1"/>
  <c r="I13" i="3"/>
  <c r="G10" i="3" l="1"/>
  <c r="D12" i="3" l="1"/>
  <c r="P12" i="3"/>
  <c r="G11" i="3"/>
  <c r="G9" i="3"/>
  <c r="G8" i="3"/>
  <c r="G7" i="3"/>
  <c r="L12" i="3" l="1"/>
  <c r="V24" i="1" l="1"/>
  <c r="C16" i="4"/>
  <c r="D11" i="4" s="1"/>
  <c r="D15" i="4" l="1"/>
  <c r="E15" i="4" s="1"/>
  <c r="D12" i="4"/>
  <c r="E12" i="4" s="1"/>
  <c r="D14" i="4"/>
  <c r="E14" i="4" s="1"/>
  <c r="D13" i="4"/>
  <c r="E13" i="4" s="1"/>
  <c r="J12" i="3"/>
  <c r="K8" i="3"/>
  <c r="K11" i="3" l="1"/>
  <c r="K7" i="3"/>
  <c r="K9" i="3"/>
  <c r="K10" i="3"/>
  <c r="D16" i="4"/>
  <c r="E11" i="4"/>
  <c r="I12" i="3"/>
  <c r="M7" i="3" s="1"/>
  <c r="N12" i="3"/>
  <c r="D7" i="3"/>
  <c r="C7" i="3"/>
  <c r="O11" i="3" l="1"/>
  <c r="M10" i="3"/>
  <c r="E10" i="3" s="1"/>
  <c r="R10" i="3" s="1"/>
  <c r="M11" i="3"/>
  <c r="E11" i="3" s="1"/>
  <c r="O10" i="3"/>
  <c r="M9" i="3"/>
  <c r="E9" i="3" s="1"/>
  <c r="R9" i="3" s="1"/>
  <c r="O9" i="3"/>
  <c r="M8" i="3"/>
  <c r="E8" i="3" s="1"/>
  <c r="O7" i="3"/>
  <c r="E7" i="3"/>
  <c r="R7" i="3" s="1"/>
  <c r="O8" i="3"/>
  <c r="E16" i="4"/>
  <c r="F11" i="4" s="1"/>
  <c r="C12" i="3"/>
  <c r="B11" i="3" s="1"/>
  <c r="R11" i="3" s="1"/>
  <c r="H22" i="1" s="1"/>
  <c r="F12" i="4" l="1"/>
  <c r="F15" i="4"/>
  <c r="F13" i="4"/>
  <c r="F14" i="4"/>
  <c r="B10" i="3"/>
  <c r="H23" i="1" s="1"/>
  <c r="B9" i="3"/>
  <c r="H21" i="1" s="1"/>
  <c r="B7" i="3"/>
  <c r="H19" i="1" s="1"/>
  <c r="B8" i="3"/>
  <c r="R8" i="3" s="1"/>
  <c r="H20" i="1" s="1"/>
  <c r="F25" i="1"/>
  <c r="D25" i="1"/>
  <c r="S19" i="1"/>
  <c r="G9" i="1"/>
  <c r="G22" i="1" l="1"/>
  <c r="I22" i="1" s="1"/>
  <c r="G20" i="1"/>
  <c r="I20" i="1" s="1"/>
  <c r="T19" i="1"/>
  <c r="G14" i="1"/>
  <c r="G21" i="1"/>
  <c r="I21" i="1" s="1"/>
  <c r="G23" i="1"/>
  <c r="I23" i="1" s="1"/>
  <c r="G25" i="1"/>
  <c r="K20" i="1" l="1"/>
  <c r="L20" i="1" s="1"/>
  <c r="L22" i="1"/>
  <c r="K21" i="1"/>
  <c r="L21" i="1" s="1"/>
  <c r="K23" i="1"/>
  <c r="L23" i="1" s="1"/>
  <c r="I19" i="1"/>
  <c r="A29" i="1" s="1"/>
  <c r="M22" i="1" s="1"/>
  <c r="Q19" i="1"/>
  <c r="M20" i="1" l="1"/>
  <c r="P20" i="1" s="1"/>
  <c r="K25" i="1"/>
  <c r="I25" i="1"/>
  <c r="M21" i="1" l="1"/>
  <c r="M23" i="1"/>
  <c r="N20" i="1"/>
  <c r="N21" i="1" l="1"/>
  <c r="P21" i="1"/>
  <c r="Q21" i="1" s="1"/>
  <c r="N23" i="1"/>
  <c r="P23" i="1"/>
  <c r="Q23" i="1" s="1"/>
  <c r="N22" i="1"/>
  <c r="P22" i="1"/>
  <c r="Q22" i="1" s="1"/>
  <c r="M25" i="1"/>
  <c r="R22" i="1" s="1"/>
  <c r="Q20" i="1"/>
  <c r="P25" i="1" l="1"/>
  <c r="R20" i="1"/>
  <c r="T20" i="1" s="1"/>
  <c r="R23" i="1"/>
  <c r="T23" i="1" s="1"/>
  <c r="T21" i="1" l="1"/>
  <c r="S23" i="1"/>
  <c r="S20" i="1"/>
  <c r="T22" i="1"/>
  <c r="S22" i="1"/>
  <c r="V25" i="1" l="1"/>
  <c r="S25" i="1"/>
</calcChain>
</file>

<file path=xl/sharedStrings.xml><?xml version="1.0" encoding="utf-8"?>
<sst xmlns="http://schemas.openxmlformats.org/spreadsheetml/2006/main" count="83" uniqueCount="68">
  <si>
    <t>расчетный уровень критерия выравнивания</t>
  </si>
  <si>
    <t>Недостающий объем дотаций на выравнивание бюджетной обеспеченности поселений всего,     в т.ч.:</t>
  </si>
  <si>
    <t>объем дотации на выравнивание бюджетной обеспеченности поселений за счет собственных доходов бюджета Лахденпохского муниципального района</t>
  </si>
  <si>
    <t>объем дотации на выравнивание бюджетной обеспеченности поселенияй за счет дотации из бюджета Республики Карелия</t>
  </si>
  <si>
    <t>объем дотации на выравнивание бюджетной обеспеченности поселений из бюджета муниципального района в части, формируемой за счет субвенций, передаваемых бюджету Лахденпохского муниципального района из бюджета Республики Карелия</t>
  </si>
  <si>
    <t>уровень критерия выравнивания</t>
  </si>
  <si>
    <t>№</t>
  </si>
  <si>
    <t>поселение</t>
  </si>
  <si>
    <t>численность населения</t>
  </si>
  <si>
    <t xml:space="preserve">налоговый потенциал </t>
  </si>
  <si>
    <t>индекс налогового потенциала</t>
  </si>
  <si>
    <t>индекс бюджетных расходов</t>
  </si>
  <si>
    <t>уровень бюджетной обеспеченности до выравнивания</t>
  </si>
  <si>
    <t>Уровень бюджетной обеспеченности c учетом недостающих средств</t>
  </si>
  <si>
    <t>Распределение субвенции РК на выравнивание поселений</t>
  </si>
  <si>
    <t>Распределение объема дотации бюджета района на выравнивание поселений</t>
  </si>
  <si>
    <t>Распределение дотации на выравнивание поселений</t>
  </si>
  <si>
    <t>Уровень бюджетной обеспеченности после выравнивания</t>
  </si>
  <si>
    <t>1.</t>
  </si>
  <si>
    <t>ЛГП</t>
  </si>
  <si>
    <t>2.</t>
  </si>
  <si>
    <t>КСП</t>
  </si>
  <si>
    <t>3.</t>
  </si>
  <si>
    <t>МСП</t>
  </si>
  <si>
    <t>4.</t>
  </si>
  <si>
    <t>ЭСП</t>
  </si>
  <si>
    <t>5.</t>
  </si>
  <si>
    <t>ХСП</t>
  </si>
  <si>
    <t>итого район</t>
  </si>
  <si>
    <t xml:space="preserve">                                        </t>
  </si>
  <si>
    <t>Лахденпохское городское поселение</t>
  </si>
  <si>
    <t>Куркиекское сельское поселение</t>
  </si>
  <si>
    <t>Мийнальское сельское поселение</t>
  </si>
  <si>
    <t>Хийтольское сельское поселение</t>
  </si>
  <si>
    <t>Элисенваарское сельское поселение</t>
  </si>
  <si>
    <t>Корректирующий коэффициент стоимости коммунальных услуг</t>
  </si>
  <si>
    <t>Водоснабжение (рублей/куб.м)</t>
  </si>
  <si>
    <t>Водоотведение (рублей/куб.м)</t>
  </si>
  <si>
    <t>исходные данные</t>
  </si>
  <si>
    <t>Плотность населения</t>
  </si>
  <si>
    <t>Удаленность поселков от районного центра</t>
  </si>
  <si>
    <t>чел. на 1 кв.км</t>
  </si>
  <si>
    <t>коэффициент</t>
  </si>
  <si>
    <t>км</t>
  </si>
  <si>
    <t>в т.ч. на селе</t>
  </si>
  <si>
    <t>Население</t>
  </si>
  <si>
    <t>коэффициент расселения</t>
  </si>
  <si>
    <t>тыс. рублей</t>
  </si>
  <si>
    <t>численность населения, чел.</t>
  </si>
  <si>
    <t>коэффициент численности населения поселения к численности муниципального района</t>
  </si>
  <si>
    <t>1/коэффициент численности населения поселения к численности муниципального района</t>
  </si>
  <si>
    <t>Итого</t>
  </si>
  <si>
    <t>площадь, кв.км</t>
  </si>
  <si>
    <t>коэффициент, учитывающий структуру населения</t>
  </si>
  <si>
    <t>кол-во жителей, проживающих в населенных пунктах с чиленностью менее 500 человек, чел.</t>
  </si>
  <si>
    <t>численность населения до 17 лет, чел.</t>
  </si>
  <si>
    <t>коэффициент, учитывающий плотность населения</t>
  </si>
  <si>
    <t>Интегральный коэффициент</t>
  </si>
  <si>
    <t>коэффициент удаленности</t>
  </si>
  <si>
    <t>Индекс бюджетных расходов</t>
  </si>
  <si>
    <t>Объем средств, недостающих до уровня бюджетной обеспеченности 1,22</t>
  </si>
  <si>
    <t xml:space="preserve">Распределение дотации на выравнивание </t>
  </si>
  <si>
    <t>Уровень бюджетной обеспеченности после распределения</t>
  </si>
  <si>
    <t>численность постоянного населения по состоянию на 01.01.2021г., чел.</t>
  </si>
  <si>
    <t>Объем средств, недостающих до уровня бюджетной обеспеченности</t>
  </si>
  <si>
    <t>Расчет и распределение дотации на выравнивание поселений Лахденпохского муниципального района на 2024 год</t>
  </si>
  <si>
    <t>объем дотации (осуществление государственных полномочий Республики Карелия по расчету и предоставлению дотаций бюджетам городских и сельских поселений) на 2024 год
(1/ (Наспi / Нас)) / ∑ (1/ (Наспi / Нас)) х Сп)</t>
  </si>
  <si>
    <t>Справочно, отклонение к уровню 2023г.(+/-)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</si>
</sst>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"/>
    <numFmt numFmtId="165" formatCode="0.0000"/>
    <numFmt numFmtId="166" formatCode="0.00000"/>
    <numFmt numFmtId="167" formatCode="#,##0.0000"/>
    <numFmt numFmtId="168" formatCode="#,##0.0"/>
  </numFmts>
  <fonts count="19" x14ac:knownFonts="1">
    <font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7" fillId="0" borderId="0"/>
    <xf numFmtId="0" fontId="15" fillId="0" borderId="0"/>
  </cellStyleXfs>
  <cellXfs count="141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4" fontId="4" fillId="0" borderId="0" xfId="0" applyNumberFormat="1" applyFont="1" applyBorder="1" applyAlignment="1">
      <alignment vertical="top"/>
    </xf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3" fillId="0" borderId="0" xfId="0" applyFont="1" applyBorder="1"/>
    <xf numFmtId="0" fontId="0" fillId="0" borderId="0" xfId="0" applyBorder="1"/>
    <xf numFmtId="3" fontId="3" fillId="0" borderId="0" xfId="0" applyNumberFormat="1" applyFont="1" applyBorder="1" applyAlignment="1">
      <alignment vertical="top"/>
    </xf>
    <xf numFmtId="2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wrapText="1"/>
    </xf>
    <xf numFmtId="2" fontId="3" fillId="0" borderId="0" xfId="0" applyNumberFormat="1" applyFont="1" applyBorder="1" applyAlignment="1"/>
    <xf numFmtId="0" fontId="3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9" fillId="0" borderId="0" xfId="0" applyFont="1"/>
    <xf numFmtId="165" fontId="0" fillId="0" borderId="0" xfId="0" applyNumberFormat="1"/>
    <xf numFmtId="1" fontId="0" fillId="0" borderId="0" xfId="0" applyNumberFormat="1"/>
    <xf numFmtId="0" fontId="8" fillId="0" borderId="0" xfId="0" applyFont="1" applyAlignment="1">
      <alignment vertical="top"/>
    </xf>
    <xf numFmtId="0" fontId="10" fillId="0" borderId="0" xfId="0" applyFont="1"/>
    <xf numFmtId="0" fontId="6" fillId="0" borderId="0" xfId="0" applyFont="1"/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4" fontId="10" fillId="0" borderId="0" xfId="0" applyNumberFormat="1" applyFont="1"/>
    <xf numFmtId="0" fontId="6" fillId="0" borderId="0" xfId="0" applyFont="1" applyFill="1"/>
    <xf numFmtId="0" fontId="9" fillId="0" borderId="0" xfId="0" applyFont="1" applyAlignment="1">
      <alignment horizontal="center"/>
    </xf>
    <xf numFmtId="3" fontId="9" fillId="0" borderId="0" xfId="0" applyNumberFormat="1" applyFont="1"/>
    <xf numFmtId="0" fontId="6" fillId="0" borderId="0" xfId="0" applyFont="1" applyAlignment="1">
      <alignment horizontal="right"/>
    </xf>
    <xf numFmtId="0" fontId="11" fillId="0" borderId="0" xfId="0" applyFont="1"/>
    <xf numFmtId="0" fontId="6" fillId="0" borderId="3" xfId="0" applyFont="1" applyBorder="1"/>
    <xf numFmtId="0" fontId="11" fillId="0" borderId="3" xfId="0" applyFont="1" applyBorder="1"/>
    <xf numFmtId="0" fontId="11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0" fillId="0" borderId="3" xfId="0" applyFont="1" applyBorder="1"/>
    <xf numFmtId="4" fontId="10" fillId="0" borderId="3" xfId="0" applyNumberFormat="1" applyFont="1" applyFill="1" applyBorder="1"/>
    <xf numFmtId="3" fontId="10" fillId="0" borderId="3" xfId="0" applyNumberFormat="1" applyFont="1" applyBorder="1"/>
    <xf numFmtId="4" fontId="10" fillId="0" borderId="3" xfId="0" applyNumberFormat="1" applyFont="1" applyBorder="1"/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7" fillId="0" borderId="0" xfId="1"/>
    <xf numFmtId="0" fontId="16" fillId="0" borderId="0" xfId="2" applyFont="1" applyBorder="1" applyAlignment="1">
      <alignment horizontal="right"/>
    </xf>
    <xf numFmtId="0" fontId="16" fillId="0" borderId="0" xfId="1" applyFont="1"/>
    <xf numFmtId="0" fontId="16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17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3" fillId="0" borderId="0" xfId="1" applyFont="1"/>
    <xf numFmtId="0" fontId="3" fillId="0" borderId="1" xfId="1" applyFont="1" applyBorder="1"/>
    <xf numFmtId="0" fontId="5" fillId="0" borderId="2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3" fontId="3" fillId="0" borderId="2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 wrapText="1"/>
    </xf>
    <xf numFmtId="1" fontId="3" fillId="0" borderId="0" xfId="1" applyNumberFormat="1" applyFont="1" applyBorder="1" applyAlignment="1">
      <alignment horizontal="center" vertical="center" wrapText="1"/>
    </xf>
    <xf numFmtId="165" fontId="3" fillId="0" borderId="0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right" vertical="center" wrapText="1"/>
    </xf>
    <xf numFmtId="3" fontId="3" fillId="0" borderId="2" xfId="1" applyNumberFormat="1" applyFont="1" applyBorder="1" applyAlignment="1">
      <alignment horizontal="center"/>
    </xf>
    <xf numFmtId="0" fontId="15" fillId="0" borderId="0" xfId="2"/>
    <xf numFmtId="3" fontId="4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167" fontId="10" fillId="0" borderId="3" xfId="0" applyNumberFormat="1" applyFont="1" applyBorder="1"/>
    <xf numFmtId="3" fontId="10" fillId="0" borderId="3" xfId="0" applyNumberFormat="1" applyFont="1" applyFill="1" applyBorder="1"/>
    <xf numFmtId="3" fontId="9" fillId="0" borderId="0" xfId="0" applyNumberFormat="1" applyFont="1" applyFill="1"/>
    <xf numFmtId="0" fontId="11" fillId="0" borderId="9" xfId="0" applyFont="1" applyBorder="1" applyAlignment="1">
      <alignment horizontal="center" vertical="center" wrapText="1"/>
    </xf>
    <xf numFmtId="167" fontId="18" fillId="0" borderId="3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0" fillId="0" borderId="0" xfId="0" applyFill="1"/>
    <xf numFmtId="4" fontId="9" fillId="0" borderId="0" xfId="0" applyNumberFormat="1" applyFont="1"/>
    <xf numFmtId="168" fontId="3" fillId="0" borderId="2" xfId="1" applyNumberFormat="1" applyFont="1" applyBorder="1" applyAlignment="1">
      <alignment horizontal="center" vertical="center" wrapText="1"/>
    </xf>
    <xf numFmtId="168" fontId="3" fillId="2" borderId="2" xfId="0" applyNumberFormat="1" applyFont="1" applyFill="1" applyBorder="1" applyAlignment="1">
      <alignment horizontal="center" vertical="center" wrapText="1"/>
    </xf>
    <xf numFmtId="168" fontId="3" fillId="0" borderId="2" xfId="0" applyNumberFormat="1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vertical="center" wrapText="1"/>
    </xf>
    <xf numFmtId="168" fontId="3" fillId="0" borderId="4" xfId="1" applyNumberFormat="1" applyFont="1" applyBorder="1" applyAlignment="1">
      <alignment horizontal="center" vertical="center" wrapText="1"/>
    </xf>
    <xf numFmtId="168" fontId="3" fillId="2" borderId="4" xfId="0" applyNumberFormat="1" applyFont="1" applyFill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4" fillId="0" borderId="4" xfId="0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16" fillId="0" borderId="0" xfId="2" applyFont="1" applyBorder="1" applyAlignment="1">
      <alignment horizontal="right" vertical="center"/>
    </xf>
    <xf numFmtId="0" fontId="17" fillId="0" borderId="0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</cellXfs>
  <cellStyles count="3">
    <cellStyle name="Обычный" xfId="0" builtinId="0"/>
    <cellStyle name="Обычный 2" xfId="2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16"/>
  <sheetViews>
    <sheetView topLeftCell="A7" zoomScaleNormal="100" workbookViewId="0">
      <selection activeCell="F10" sqref="F10"/>
    </sheetView>
  </sheetViews>
  <sheetFormatPr defaultRowHeight="15" x14ac:dyDescent="0.25"/>
  <cols>
    <col min="1" max="1" width="4.5" style="61" customWidth="1"/>
    <col min="2" max="2" width="28.5" style="61" customWidth="1"/>
    <col min="3" max="3" width="9.375" style="61" customWidth="1"/>
    <col min="4" max="4" width="12.625" style="61" hidden="1" customWidth="1"/>
    <col min="5" max="5" width="12.375" style="61" hidden="1" customWidth="1"/>
    <col min="6" max="6" width="31" style="61" customWidth="1"/>
    <col min="7" max="9" width="10.875" style="61" customWidth="1"/>
    <col min="10" max="11" width="9" style="61" customWidth="1"/>
    <col min="12" max="1021" width="8" style="61" customWidth="1"/>
    <col min="1022" max="16384" width="9" style="81"/>
  </cols>
  <sheetData>
    <row r="1" spans="1:11" hidden="1" x14ac:dyDescent="0.25">
      <c r="F1" s="62"/>
      <c r="I1" s="63"/>
    </row>
    <row r="2" spans="1:11" hidden="1" x14ac:dyDescent="0.25">
      <c r="D2" s="117"/>
      <c r="E2" s="117"/>
      <c r="F2" s="117"/>
      <c r="I2" s="63"/>
    </row>
    <row r="3" spans="1:11" hidden="1" x14ac:dyDescent="0.25">
      <c r="F3" s="64"/>
      <c r="I3" s="63"/>
    </row>
    <row r="4" spans="1:11" hidden="1" x14ac:dyDescent="0.25">
      <c r="F4" s="65"/>
      <c r="I4" s="63"/>
    </row>
    <row r="5" spans="1:11" hidden="1" x14ac:dyDescent="0.25"/>
    <row r="6" spans="1:11" ht="15.75" hidden="1" x14ac:dyDescent="0.25">
      <c r="A6" s="118"/>
      <c r="B6" s="118"/>
      <c r="C6" s="118"/>
      <c r="D6" s="118"/>
      <c r="E6" s="118"/>
      <c r="F6" s="118"/>
      <c r="G6" s="66"/>
      <c r="H6" s="67"/>
      <c r="I6" s="67"/>
      <c r="J6" s="68"/>
      <c r="K6" s="68"/>
    </row>
    <row r="7" spans="1:11" x14ac:dyDescent="0.2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11" x14ac:dyDescent="0.25">
      <c r="A8" s="119"/>
      <c r="B8" s="119"/>
      <c r="C8" s="119"/>
      <c r="D8" s="119"/>
      <c r="E8" s="69"/>
      <c r="F8" s="95" t="s">
        <v>47</v>
      </c>
      <c r="G8" s="68"/>
      <c r="H8" s="68"/>
      <c r="I8" s="68"/>
      <c r="J8" s="68"/>
      <c r="K8" s="68"/>
    </row>
    <row r="9" spans="1:11" ht="73.5" x14ac:dyDescent="0.25">
      <c r="A9" s="70" t="s">
        <v>6</v>
      </c>
      <c r="B9" s="70" t="s">
        <v>7</v>
      </c>
      <c r="C9" s="70" t="s">
        <v>48</v>
      </c>
      <c r="D9" s="70" t="s">
        <v>49</v>
      </c>
      <c r="E9" s="70" t="s">
        <v>50</v>
      </c>
      <c r="F9" s="70" t="s">
        <v>66</v>
      </c>
      <c r="G9" s="71"/>
      <c r="H9" s="71"/>
      <c r="I9" s="71"/>
      <c r="J9" s="71"/>
      <c r="K9" s="71"/>
    </row>
    <row r="10" spans="1:11" x14ac:dyDescent="0.25">
      <c r="A10" s="72"/>
      <c r="B10" s="72"/>
      <c r="C10" s="72"/>
      <c r="D10" s="72"/>
      <c r="E10" s="72"/>
      <c r="F10" s="72"/>
      <c r="G10" s="73"/>
      <c r="H10" s="73"/>
      <c r="I10" s="73"/>
      <c r="J10" s="73"/>
      <c r="K10" s="73"/>
    </row>
    <row r="11" spans="1:11" x14ac:dyDescent="0.25">
      <c r="A11" s="72" t="s">
        <v>18</v>
      </c>
      <c r="B11" s="74" t="s">
        <v>30</v>
      </c>
      <c r="C11" s="75">
        <v>6809</v>
      </c>
      <c r="D11" s="72">
        <f>C11/C16</f>
        <v>0.55907709992610233</v>
      </c>
      <c r="E11" s="76">
        <f>1/D11</f>
        <v>1.7886620649140843</v>
      </c>
      <c r="F11" s="116">
        <f>$F$16*E11/$E$16</f>
        <v>275.15136727922931</v>
      </c>
      <c r="G11" s="77"/>
      <c r="H11" s="77"/>
      <c r="I11" s="78"/>
      <c r="J11" s="73"/>
      <c r="K11" s="73"/>
    </row>
    <row r="12" spans="1:11" x14ac:dyDescent="0.25">
      <c r="A12" s="72" t="s">
        <v>20</v>
      </c>
      <c r="B12" s="74" t="s">
        <v>31</v>
      </c>
      <c r="C12" s="75">
        <v>1391</v>
      </c>
      <c r="D12" s="72">
        <f>C12/C16</f>
        <v>0.11421298957221447</v>
      </c>
      <c r="E12" s="76">
        <f>1/D12</f>
        <v>8.7555715312724658</v>
      </c>
      <c r="F12" s="116">
        <f>$F$16*E12/$E$16</f>
        <v>1346.8768222891963</v>
      </c>
      <c r="G12" s="77"/>
      <c r="H12" s="77"/>
      <c r="I12" s="78"/>
      <c r="J12" s="73"/>
      <c r="K12" s="73"/>
    </row>
    <row r="13" spans="1:11" x14ac:dyDescent="0.25">
      <c r="A13" s="72" t="s">
        <v>22</v>
      </c>
      <c r="B13" s="74" t="s">
        <v>32</v>
      </c>
      <c r="C13" s="75">
        <v>1495</v>
      </c>
      <c r="D13" s="72">
        <f>C13/C16</f>
        <v>0.12275227851219311</v>
      </c>
      <c r="E13" s="76">
        <f>1/D13</f>
        <v>8.1464882943143824</v>
      </c>
      <c r="F13" s="116">
        <f>$F$16*E13/$E$16</f>
        <v>1253.1810433473395</v>
      </c>
      <c r="G13" s="77"/>
      <c r="H13" s="77"/>
      <c r="I13" s="78"/>
      <c r="J13" s="73"/>
      <c r="K13" s="73"/>
    </row>
    <row r="14" spans="1:11" x14ac:dyDescent="0.25">
      <c r="A14" s="72" t="s">
        <v>24</v>
      </c>
      <c r="B14" s="74" t="s">
        <v>34</v>
      </c>
      <c r="C14" s="75">
        <v>1090</v>
      </c>
      <c r="D14" s="72">
        <f>C14/C16</f>
        <v>8.9498316774776251E-2</v>
      </c>
      <c r="E14" s="76">
        <f>1/D14</f>
        <v>11.173394495412845</v>
      </c>
      <c r="F14" s="116">
        <f>$F$16*E14/$E$16</f>
        <v>1718.8125319305252</v>
      </c>
      <c r="G14" s="77"/>
      <c r="H14" s="77"/>
      <c r="I14" s="78"/>
      <c r="J14" s="73"/>
      <c r="K14" s="73"/>
    </row>
    <row r="15" spans="1:11" x14ac:dyDescent="0.25">
      <c r="A15" s="72" t="s">
        <v>26</v>
      </c>
      <c r="B15" s="74" t="s">
        <v>33</v>
      </c>
      <c r="C15" s="75">
        <v>1394</v>
      </c>
      <c r="D15" s="72">
        <f>C15/C16</f>
        <v>0.11445931521471385</v>
      </c>
      <c r="E15" s="76">
        <f>1/D15</f>
        <v>8.7367288378766137</v>
      </c>
      <c r="F15" s="116">
        <f>$F$16*E15/$E$16</f>
        <v>1343.9782351537103</v>
      </c>
      <c r="G15" s="77"/>
      <c r="H15" s="77"/>
      <c r="I15" s="78"/>
      <c r="J15" s="73"/>
      <c r="K15" s="73"/>
    </row>
    <row r="16" spans="1:11" x14ac:dyDescent="0.25">
      <c r="A16" s="72"/>
      <c r="B16" s="79" t="s">
        <v>51</v>
      </c>
      <c r="C16" s="80">
        <f>SUM(C11:C15)</f>
        <v>12179</v>
      </c>
      <c r="D16" s="72">
        <f>SUM(D11:D15)</f>
        <v>1</v>
      </c>
      <c r="E16" s="76">
        <f>E11+E12+E13+E14+E15</f>
        <v>38.600845223790387</v>
      </c>
      <c r="F16" s="108">
        <v>5938</v>
      </c>
      <c r="G16" s="77"/>
      <c r="H16" s="77"/>
      <c r="I16" s="73"/>
      <c r="J16" s="73"/>
      <c r="K16" s="73"/>
    </row>
  </sheetData>
  <mergeCells count="3">
    <mergeCell ref="D2:F2"/>
    <mergeCell ref="A6:F6"/>
    <mergeCell ref="A8:D8"/>
  </mergeCells>
  <pageMargins left="0.78749999999999998" right="0.78749999999999998" top="0.78749999999999998" bottom="0.78749999999999998" header="0.51180555555555496" footer="0.51180555555555496"/>
  <pageSetup paperSize="9" firstPageNumber="0" fitToWidth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19"/>
  <sheetViews>
    <sheetView workbookViewId="0">
      <selection activeCell="J22" sqref="J21:K22"/>
    </sheetView>
  </sheetViews>
  <sheetFormatPr defaultColWidth="25.75" defaultRowHeight="12.75" x14ac:dyDescent="0.2"/>
  <cols>
    <col min="1" max="1" width="30.125" style="41" bestFit="1" customWidth="1"/>
    <col min="2" max="2" width="13.375" style="41" customWidth="1"/>
    <col min="3" max="3" width="4.75" style="41" customWidth="1"/>
    <col min="4" max="4" width="5" style="41" customWidth="1"/>
    <col min="5" max="5" width="12.875" style="41" customWidth="1"/>
    <col min="6" max="6" width="11.25" style="41" customWidth="1"/>
    <col min="7" max="7" width="7.625" style="41" customWidth="1"/>
    <col min="8" max="8" width="10.125" style="41" customWidth="1"/>
    <col min="9" max="9" width="13" style="41" customWidth="1"/>
    <col min="10" max="10" width="11.875" style="41" customWidth="1"/>
    <col min="11" max="13" width="10.125" style="41" customWidth="1"/>
    <col min="14" max="14" width="4.625" style="41" bestFit="1" customWidth="1"/>
    <col min="15" max="15" width="10.25" style="41" customWidth="1"/>
    <col min="16" max="16" width="9.375" style="41" customWidth="1"/>
    <col min="17" max="17" width="14.5" style="41" customWidth="1"/>
    <col min="18" max="18" width="8.625" style="41" customWidth="1"/>
    <col min="19" max="16384" width="25.75" style="41"/>
  </cols>
  <sheetData>
    <row r="3" spans="1:37" ht="26.25" customHeight="1" x14ac:dyDescent="0.2">
      <c r="A3" s="120"/>
      <c r="B3" s="122" t="s">
        <v>35</v>
      </c>
      <c r="C3" s="123" t="s">
        <v>38</v>
      </c>
      <c r="D3" s="123"/>
      <c r="E3" s="122" t="s">
        <v>57</v>
      </c>
      <c r="F3" s="127" t="s">
        <v>38</v>
      </c>
      <c r="G3" s="128"/>
      <c r="H3" s="128"/>
      <c r="I3" s="128"/>
      <c r="J3" s="128"/>
      <c r="K3" s="128"/>
      <c r="L3" s="128"/>
      <c r="M3" s="128"/>
      <c r="N3" s="128"/>
      <c r="O3" s="129"/>
      <c r="P3" s="50"/>
      <c r="Q3" s="50"/>
      <c r="R3" s="133" t="s">
        <v>59</v>
      </c>
    </row>
    <row r="4" spans="1:37" ht="50.25" customHeight="1" x14ac:dyDescent="0.2">
      <c r="A4" s="120"/>
      <c r="B4" s="122"/>
      <c r="C4" s="121" t="s">
        <v>36</v>
      </c>
      <c r="D4" s="121" t="s">
        <v>37</v>
      </c>
      <c r="E4" s="122"/>
      <c r="F4" s="130" t="s">
        <v>39</v>
      </c>
      <c r="G4" s="131"/>
      <c r="H4" s="132"/>
      <c r="I4" s="124" t="s">
        <v>45</v>
      </c>
      <c r="J4" s="125"/>
      <c r="K4" s="125"/>
      <c r="L4" s="125"/>
      <c r="M4" s="126"/>
      <c r="N4" s="123" t="s">
        <v>40</v>
      </c>
      <c r="O4" s="123"/>
      <c r="P4" s="51"/>
      <c r="Q4" s="51"/>
      <c r="R4" s="134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</row>
    <row r="5" spans="1:37" ht="68.25" customHeight="1" x14ac:dyDescent="0.2">
      <c r="A5" s="120"/>
      <c r="B5" s="122"/>
      <c r="C5" s="121"/>
      <c r="D5" s="121"/>
      <c r="E5" s="122"/>
      <c r="F5" s="99" t="s">
        <v>56</v>
      </c>
      <c r="G5" s="52" t="s">
        <v>41</v>
      </c>
      <c r="H5" s="52" t="s">
        <v>42</v>
      </c>
      <c r="I5" s="52" t="s">
        <v>63</v>
      </c>
      <c r="J5" s="53" t="s">
        <v>54</v>
      </c>
      <c r="K5" s="52" t="s">
        <v>46</v>
      </c>
      <c r="L5" s="60" t="s">
        <v>55</v>
      </c>
      <c r="M5" s="60" t="s">
        <v>53</v>
      </c>
      <c r="N5" s="52" t="s">
        <v>43</v>
      </c>
      <c r="O5" s="52" t="s">
        <v>58</v>
      </c>
      <c r="P5" s="60" t="s">
        <v>52</v>
      </c>
      <c r="Q5" s="59"/>
      <c r="R5" s="135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</row>
    <row r="6" spans="1:37" s="42" customFormat="1" ht="10.5" x14ac:dyDescent="0.15">
      <c r="A6" s="42">
        <v>1</v>
      </c>
      <c r="B6" s="54">
        <v>2</v>
      </c>
      <c r="C6" s="54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/>
      <c r="J6" s="54"/>
      <c r="K6" s="54"/>
      <c r="L6" s="54"/>
      <c r="M6" s="54"/>
      <c r="N6" s="54"/>
      <c r="O6" s="54"/>
      <c r="P6" s="54"/>
      <c r="Q6" s="54"/>
      <c r="R6" s="54"/>
    </row>
    <row r="7" spans="1:37" s="40" customFormat="1" ht="15" x14ac:dyDescent="0.25">
      <c r="A7" s="43" t="s">
        <v>30</v>
      </c>
      <c r="B7" s="55">
        <f>0.6+0.04*C7/$C$12+0.03*D7/$D$12+0.33</f>
        <v>0.98549436212089492</v>
      </c>
      <c r="C7" s="56">
        <f>(31.17*6+32.32*6)/12</f>
        <v>31.745000000000005</v>
      </c>
      <c r="D7" s="56">
        <f>(29*6+30.2*6)/12</f>
        <v>29.599999999999998</v>
      </c>
      <c r="E7" s="96">
        <f>0.5*F7+0.3*M7+0.2*K7</f>
        <v>0.96013121959885495</v>
      </c>
      <c r="F7" s="55">
        <v>1</v>
      </c>
      <c r="G7" s="55">
        <f>I7/P7</f>
        <v>26.571428571428573</v>
      </c>
      <c r="H7" s="55"/>
      <c r="I7" s="57">
        <v>6975</v>
      </c>
      <c r="J7" s="57">
        <v>0</v>
      </c>
      <c r="K7" s="57">
        <f t="shared" ref="K7" si="0">(1+J7/I7)/(1+$J$12/$I$13)</f>
        <v>0.66425594508457952</v>
      </c>
      <c r="L7" s="57">
        <v>1347</v>
      </c>
      <c r="M7" s="96">
        <f>(L7/I7)/($L$12/$I$12)</f>
        <v>1.0909334352731299</v>
      </c>
      <c r="N7" s="55">
        <v>0</v>
      </c>
      <c r="O7" s="55">
        <f t="shared" ref="O7" si="1">N7*$I$12/(N7*I7+N8*I8+N9*I9+N10*I10+I6*N6)</f>
        <v>0</v>
      </c>
      <c r="P7" s="58">
        <v>262.5</v>
      </c>
      <c r="Q7" s="58"/>
      <c r="R7" s="100">
        <f>(0.5+0.1*B7+0.3+0.1)*E7</f>
        <v>0.95873848802006256</v>
      </c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</row>
    <row r="8" spans="1:37" s="40" customFormat="1" ht="15" x14ac:dyDescent="0.25">
      <c r="A8" s="43" t="s">
        <v>31</v>
      </c>
      <c r="B8" s="55">
        <f t="shared" ref="B8:B11" si="2">0.6+0.04*C8/$C$12+0.03*D8/$D$12+0.33</f>
        <v>1.0069354244074264</v>
      </c>
      <c r="C8" s="58">
        <v>32.380000000000003</v>
      </c>
      <c r="D8" s="58">
        <v>52.79</v>
      </c>
      <c r="E8" s="96">
        <f t="shared" ref="E8:E11" si="3">0.5*F8+0.3*M8+0.2*K8</f>
        <v>0.94386076993998913</v>
      </c>
      <c r="F8" s="55">
        <v>1</v>
      </c>
      <c r="G8" s="55">
        <f t="shared" ref="G8:G11" si="4">I8/P8</f>
        <v>1.1451402452366866</v>
      </c>
      <c r="H8" s="55"/>
      <c r="I8" s="57">
        <v>1413</v>
      </c>
      <c r="J8" s="97">
        <v>578</v>
      </c>
      <c r="K8" s="96">
        <f>(1+J8/I8)/(1+$J$12/$I$13)</f>
        <v>0.93597564519702614</v>
      </c>
      <c r="L8" s="57">
        <v>214</v>
      </c>
      <c r="M8" s="96">
        <f t="shared" ref="M8:M11" si="5">(L8/I8)/($L$12/$I$12)</f>
        <v>0.85555213633527971</v>
      </c>
      <c r="N8" s="55">
        <v>29</v>
      </c>
      <c r="O8" s="55">
        <f>N8*$I$12/(N8*I8+N9*I9+N10*I10+N11*I11+I7*N7)</f>
        <v>2.2002215978305451</v>
      </c>
      <c r="P8" s="58">
        <v>1233.9100000000001</v>
      </c>
      <c r="Q8" s="58"/>
      <c r="R8" s="100">
        <f t="shared" ref="R8:R11" si="6">(0.5+0.1*B8+0.3+0.1)*E8</f>
        <v>0.94451537744209468</v>
      </c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</row>
    <row r="9" spans="1:37" s="40" customFormat="1" ht="15" x14ac:dyDescent="0.25">
      <c r="A9" s="43" t="s">
        <v>32</v>
      </c>
      <c r="B9" s="55">
        <f t="shared" si="2"/>
        <v>1.0109170117124613</v>
      </c>
      <c r="C9" s="58">
        <v>50.8</v>
      </c>
      <c r="D9" s="58">
        <v>38.6</v>
      </c>
      <c r="E9" s="96">
        <f t="shared" si="3"/>
        <v>0.99284309736865695</v>
      </c>
      <c r="F9" s="55">
        <v>1</v>
      </c>
      <c r="G9" s="55">
        <f t="shared" si="4"/>
        <v>1.1061493411420205</v>
      </c>
      <c r="H9" s="55"/>
      <c r="I9" s="57">
        <v>1511</v>
      </c>
      <c r="J9" s="97">
        <v>816</v>
      </c>
      <c r="K9" s="96">
        <f t="shared" ref="K9:K11" si="7">(1+J9/I9)/(1+$J$12/$I$13)</f>
        <v>1.0229805322381313</v>
      </c>
      <c r="L9" s="57">
        <v>257</v>
      </c>
      <c r="M9" s="96">
        <f t="shared" si="5"/>
        <v>0.96082330307010222</v>
      </c>
      <c r="N9" s="55">
        <v>9</v>
      </c>
      <c r="O9" s="55">
        <f t="shared" ref="O9:O11" si="8">N9*$I$12/(N9*I9+N10*I10+N11*I11+N12*I12+I8*N8)</f>
        <v>0.20486909855282479</v>
      </c>
      <c r="P9" s="58">
        <v>1366</v>
      </c>
      <c r="Q9" s="58"/>
      <c r="R9" s="100">
        <f>(0.5+0.1*B9+0.3+0.1)*E9</f>
        <v>0.99392698534091795</v>
      </c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spans="1:37" s="40" customFormat="1" ht="15" x14ac:dyDescent="0.25">
      <c r="A10" s="43" t="s">
        <v>33</v>
      </c>
      <c r="B10" s="55">
        <f t="shared" si="2"/>
        <v>0.9855814403426284</v>
      </c>
      <c r="C10" s="58">
        <v>48.87</v>
      </c>
      <c r="D10" s="56">
        <v>12.39</v>
      </c>
      <c r="E10" s="96">
        <f>0.5*F10+0.3*M10+0.2*K10</f>
        <v>0.95512813355293813</v>
      </c>
      <c r="F10" s="55">
        <v>1</v>
      </c>
      <c r="G10" s="55">
        <f>I10/P10</f>
        <v>2.0633226609747419</v>
      </c>
      <c r="H10" s="55"/>
      <c r="I10" s="57">
        <v>1392</v>
      </c>
      <c r="J10" s="97">
        <v>851</v>
      </c>
      <c r="K10" s="96">
        <f t="shared" si="7"/>
        <v>1.0703491988683274</v>
      </c>
      <c r="L10" s="57">
        <v>198</v>
      </c>
      <c r="M10" s="96">
        <f t="shared" si="5"/>
        <v>0.80352764593090875</v>
      </c>
      <c r="N10" s="55">
        <v>52</v>
      </c>
      <c r="O10" s="55">
        <f t="shared" si="8"/>
        <v>1.280022244400419</v>
      </c>
      <c r="P10" s="58">
        <v>674.64</v>
      </c>
      <c r="Q10" s="58"/>
      <c r="R10" s="100">
        <f>(0.5+0.1*B10+0.3+0.1)*E10</f>
        <v>0.95375097635553152</v>
      </c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spans="1:37" s="40" customFormat="1" ht="15" x14ac:dyDescent="0.25">
      <c r="A11" s="43" t="s">
        <v>34</v>
      </c>
      <c r="B11" s="55">
        <f t="shared" si="2"/>
        <v>0.98107176141658892</v>
      </c>
      <c r="C11" s="58">
        <v>56.17</v>
      </c>
      <c r="D11" s="56">
        <v>0</v>
      </c>
      <c r="E11" s="96">
        <f t="shared" si="3"/>
        <v>0.96584064980602014</v>
      </c>
      <c r="F11" s="55">
        <v>1</v>
      </c>
      <c r="G11" s="55">
        <f t="shared" si="4"/>
        <v>3.0021774632553075</v>
      </c>
      <c r="H11" s="55"/>
      <c r="I11" s="57">
        <v>1103</v>
      </c>
      <c r="J11" s="97">
        <v>494</v>
      </c>
      <c r="K11" s="96">
        <f t="shared" si="7"/>
        <v>0.96175588785138122</v>
      </c>
      <c r="L11" s="57">
        <v>178</v>
      </c>
      <c r="M11" s="96">
        <f t="shared" si="5"/>
        <v>0.9116315741191463</v>
      </c>
      <c r="N11" s="55">
        <v>33</v>
      </c>
      <c r="O11" s="55">
        <f t="shared" si="8"/>
        <v>0.83487089672656678</v>
      </c>
      <c r="P11" s="58">
        <v>367.4</v>
      </c>
      <c r="Q11" s="58"/>
      <c r="R11" s="100">
        <f t="shared" si="6"/>
        <v>0.96401248358071157</v>
      </c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spans="1:37" s="36" customFormat="1" x14ac:dyDescent="0.2">
      <c r="C12" s="46">
        <f>(C7+C8+C9+C10+C11)/5</f>
        <v>43.992999999999995</v>
      </c>
      <c r="D12" s="46">
        <f>(D7+D8+D9+D10+D11)/4</f>
        <v>33.344999999999999</v>
      </c>
      <c r="I12" s="47">
        <f>SUM(I7:I11)</f>
        <v>12394</v>
      </c>
      <c r="J12" s="98">
        <f>J8+J9+J10+J11</f>
        <v>2739</v>
      </c>
      <c r="L12" s="47">
        <f>L7+L8+L9+L10+L11</f>
        <v>2194</v>
      </c>
      <c r="N12" s="36">
        <f>SUM(N7:N11)/4</f>
        <v>30.75</v>
      </c>
      <c r="P12" s="107">
        <f>P7+P8+P9+P10+P11</f>
        <v>3904.45</v>
      </c>
    </row>
    <row r="13" spans="1:37" x14ac:dyDescent="0.2">
      <c r="H13" s="48" t="s">
        <v>44</v>
      </c>
      <c r="I13" s="47">
        <f>I8+I9+I10+I11</f>
        <v>5419</v>
      </c>
      <c r="J13" s="45"/>
    </row>
    <row r="19" spans="7:7" x14ac:dyDescent="0.2">
      <c r="G19" s="45"/>
    </row>
  </sheetData>
  <mergeCells count="11">
    <mergeCell ref="N4:O4"/>
    <mergeCell ref="I4:M4"/>
    <mergeCell ref="F3:O3"/>
    <mergeCell ref="F4:H4"/>
    <mergeCell ref="R3:R5"/>
    <mergeCell ref="A3:A5"/>
    <mergeCell ref="C4:C5"/>
    <mergeCell ref="D4:D5"/>
    <mergeCell ref="E3:E5"/>
    <mergeCell ref="B3:B5"/>
    <mergeCell ref="C3:D3"/>
  </mergeCells>
  <pageMargins left="0.7" right="0.7" top="0.75" bottom="0.75" header="0.3" footer="0.3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29"/>
  <sheetViews>
    <sheetView tabSelected="1" zoomScaleNormal="100" workbookViewId="0">
      <selection activeCell="V25" sqref="V25"/>
    </sheetView>
  </sheetViews>
  <sheetFormatPr defaultRowHeight="14.25" x14ac:dyDescent="0.2"/>
  <cols>
    <col min="1" max="1" width="6" customWidth="1"/>
    <col min="2" max="2" width="8.625" customWidth="1"/>
    <col min="3" max="3" width="6.625" hidden="1" customWidth="1"/>
    <col min="4" max="4" width="9.625" customWidth="1"/>
    <col min="5" max="5" width="7.125" hidden="1" customWidth="1"/>
    <col min="6" max="7" width="9.125" customWidth="1"/>
    <col min="8" max="8" width="9.625" customWidth="1"/>
    <col min="9" max="9" width="10.875" customWidth="1"/>
    <col min="10" max="10" width="10" hidden="1" customWidth="1"/>
    <col min="11" max="11" width="12.375" customWidth="1"/>
    <col min="12" max="12" width="12.375" hidden="1" customWidth="1"/>
    <col min="13" max="14" width="11.75" hidden="1" customWidth="1"/>
    <col min="15" max="15" width="12.625" customWidth="1"/>
    <col min="16" max="16" width="12.375" hidden="1" customWidth="1"/>
    <col min="17" max="17" width="10.875" hidden="1" customWidth="1"/>
    <col min="18" max="18" width="11.25" customWidth="1"/>
    <col min="19" max="20" width="11.625" customWidth="1"/>
    <col min="21" max="21" width="11.625" hidden="1" customWidth="1"/>
    <col min="22" max="22" width="8.25" customWidth="1"/>
    <col min="23" max="28" width="8.625" customWidth="1"/>
    <col min="29" max="29" width="10" customWidth="1"/>
    <col min="30" max="30" width="11.875" customWidth="1"/>
    <col min="31" max="1025" width="8.625" customWidth="1"/>
    <col min="1026" max="1028" width="10.5" customWidth="1"/>
  </cols>
  <sheetData>
    <row r="1" spans="1:36 1026:1027" x14ac:dyDescent="0.2">
      <c r="V1" s="1"/>
    </row>
    <row r="2" spans="1:36 1026:1027" x14ac:dyDescent="0.2">
      <c r="V2" s="1"/>
    </row>
    <row r="3" spans="1:36 1026:1027" x14ac:dyDescent="0.2">
      <c r="V3" s="1"/>
    </row>
    <row r="5" spans="1:36 1026:1027" ht="15" x14ac:dyDescent="0.2">
      <c r="A5" s="136" t="s">
        <v>65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</row>
    <row r="6" spans="1:36 1026:1027" ht="23.25" customHeight="1" x14ac:dyDescent="0.2">
      <c r="A6" s="136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</row>
    <row r="7" spans="1:36 1026:1027" ht="23.2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36 1026:1027" ht="21.75" customHeight="1" x14ac:dyDescent="0.2">
      <c r="A8" s="137" t="s">
        <v>0</v>
      </c>
      <c r="B8" s="137"/>
      <c r="C8" s="137"/>
      <c r="D8" s="137"/>
      <c r="E8" s="137"/>
      <c r="F8" s="137"/>
      <c r="G8" s="3">
        <f>(F25+G10+G13)/F25</f>
        <v>1.2435414856995786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X8" s="138"/>
      <c r="Y8" s="138"/>
      <c r="Z8" s="138"/>
      <c r="AA8" s="138"/>
      <c r="AB8" s="6"/>
      <c r="AC8" s="7"/>
      <c r="AD8" s="7"/>
      <c r="AE8" s="7"/>
      <c r="AF8" s="7"/>
      <c r="AG8" s="7"/>
      <c r="AH8" s="7"/>
      <c r="AI8" s="7"/>
      <c r="AJ8" s="7"/>
    </row>
    <row r="9" spans="1:36 1026:1027" ht="42.75" hidden="1" customHeight="1" x14ac:dyDescent="0.2">
      <c r="A9" s="139" t="s">
        <v>1</v>
      </c>
      <c r="B9" s="139"/>
      <c r="C9" s="139"/>
      <c r="D9" s="139"/>
      <c r="E9" s="139"/>
      <c r="F9" s="139"/>
      <c r="G9" s="8">
        <f>G10+G12+G13</f>
        <v>7570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X9" s="5"/>
      <c r="Y9" s="5"/>
      <c r="Z9" s="5"/>
      <c r="AA9" s="5"/>
      <c r="AB9" s="6"/>
      <c r="AC9" s="7"/>
      <c r="AD9" s="7"/>
      <c r="AE9" s="7"/>
      <c r="AF9" s="7"/>
      <c r="AG9" s="7"/>
      <c r="AH9" s="7"/>
      <c r="AI9" s="7"/>
      <c r="AJ9" s="7"/>
    </row>
    <row r="10" spans="1:36 1026:1027" ht="60" customHeight="1" x14ac:dyDescent="0.2">
      <c r="A10" s="137" t="s">
        <v>2</v>
      </c>
      <c r="B10" s="137"/>
      <c r="C10" s="137"/>
      <c r="D10" s="137"/>
      <c r="E10" s="137"/>
      <c r="F10" s="137"/>
      <c r="G10" s="8">
        <v>1632</v>
      </c>
      <c r="H10" s="39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X10" s="138"/>
      <c r="Y10" s="138"/>
      <c r="Z10" s="138"/>
      <c r="AA10" s="138"/>
      <c r="AB10" s="6"/>
      <c r="AC10" s="7"/>
      <c r="AD10" s="7"/>
      <c r="AE10" s="7"/>
      <c r="AF10" s="7"/>
      <c r="AG10" s="7"/>
      <c r="AH10" s="7"/>
      <c r="AI10" s="7"/>
      <c r="AJ10" s="7"/>
    </row>
    <row r="11" spans="1:36 1026:1027" ht="57.75" hidden="1" customHeight="1" x14ac:dyDescent="0.2">
      <c r="A11" s="137" t="s">
        <v>2</v>
      </c>
      <c r="B11" s="137"/>
      <c r="C11" s="137"/>
      <c r="D11" s="137"/>
      <c r="E11" s="137"/>
      <c r="F11" s="137"/>
      <c r="G11" s="8">
        <v>2250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X11" s="138"/>
      <c r="Y11" s="138"/>
      <c r="Z11" s="138"/>
      <c r="AA11" s="138"/>
      <c r="AB11" s="6"/>
      <c r="AC11" s="7"/>
      <c r="AD11" s="7"/>
      <c r="AE11" s="7"/>
      <c r="AF11" s="7"/>
      <c r="AG11" s="7"/>
      <c r="AH11" s="7"/>
      <c r="AI11" s="7"/>
      <c r="AJ11" s="7"/>
    </row>
    <row r="12" spans="1:36 1026:1027" ht="48" hidden="1" customHeight="1" x14ac:dyDescent="0.2">
      <c r="A12" s="137" t="s">
        <v>3</v>
      </c>
      <c r="B12" s="137"/>
      <c r="C12" s="137"/>
      <c r="D12" s="137"/>
      <c r="E12" s="137"/>
      <c r="F12" s="137"/>
      <c r="G12" s="8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X12" s="138"/>
      <c r="Y12" s="138"/>
      <c r="Z12" s="138"/>
      <c r="AA12" s="138"/>
      <c r="AB12" s="6"/>
      <c r="AC12" s="7"/>
      <c r="AD12" s="7"/>
      <c r="AE12" s="7"/>
      <c r="AF12" s="7"/>
      <c r="AG12" s="7"/>
      <c r="AH12" s="7"/>
      <c r="AI12" s="7"/>
      <c r="AJ12" s="7"/>
    </row>
    <row r="13" spans="1:36 1026:1027" ht="96" customHeight="1" x14ac:dyDescent="0.2">
      <c r="A13" s="137" t="s">
        <v>4</v>
      </c>
      <c r="B13" s="137"/>
      <c r="C13" s="137"/>
      <c r="D13" s="137"/>
      <c r="E13" s="137"/>
      <c r="F13" s="137"/>
      <c r="G13" s="8">
        <v>5938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X13" s="5"/>
      <c r="Y13" s="5"/>
      <c r="Z13" s="5"/>
      <c r="AA13" s="5"/>
      <c r="AB13" s="6"/>
      <c r="AC13" s="7"/>
      <c r="AD13" s="7"/>
      <c r="AE13" s="7"/>
      <c r="AF13" s="7"/>
      <c r="AG13" s="7"/>
      <c r="AH13" s="7"/>
      <c r="AI13" s="7"/>
      <c r="AJ13" s="7"/>
    </row>
    <row r="14" spans="1:36 1026:1027" ht="21" hidden="1" customHeight="1" x14ac:dyDescent="0.2">
      <c r="A14" s="137" t="s">
        <v>5</v>
      </c>
      <c r="B14" s="137"/>
      <c r="C14" s="137"/>
      <c r="D14" s="137"/>
      <c r="E14" s="137"/>
      <c r="F14" s="137"/>
      <c r="G14" s="9">
        <f>(F25+R25)/F25</f>
        <v>1.0525045844995657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X14" s="5"/>
      <c r="Y14" s="5"/>
      <c r="Z14" s="5"/>
      <c r="AA14" s="5"/>
      <c r="AB14" s="6"/>
      <c r="AC14" s="7"/>
      <c r="AD14" s="7"/>
      <c r="AE14" s="7"/>
      <c r="AF14" s="7"/>
      <c r="AG14" s="7"/>
      <c r="AH14" s="7"/>
      <c r="AI14" s="7"/>
      <c r="AJ14" s="7"/>
    </row>
    <row r="15" spans="1:36 1026:1027" s="7" customFormat="1" ht="14.25" customHeight="1" x14ac:dyDescent="0.2">
      <c r="A15" s="10"/>
      <c r="B15" s="10"/>
      <c r="C15" s="10"/>
      <c r="D15" s="10"/>
      <c r="E15" s="10"/>
      <c r="F15" s="10"/>
      <c r="G15" s="11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X15" s="5"/>
      <c r="Y15" s="5"/>
      <c r="Z15" s="5"/>
      <c r="AA15" s="5"/>
      <c r="AB15" s="6"/>
      <c r="AML15"/>
      <c r="AMM15"/>
    </row>
    <row r="16" spans="1:36 1026:1027" x14ac:dyDescent="0.2">
      <c r="A16" s="140"/>
      <c r="B16" s="140"/>
      <c r="C16" s="140"/>
      <c r="D16" s="140"/>
      <c r="E16" s="140"/>
      <c r="F16" s="140"/>
      <c r="G16" s="1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X16" s="138"/>
      <c r="Y16" s="138"/>
      <c r="Z16" s="138"/>
      <c r="AA16" s="138"/>
      <c r="AB16" s="6"/>
      <c r="AC16" s="7"/>
      <c r="AD16" s="7"/>
      <c r="AE16" s="7"/>
      <c r="AF16" s="7"/>
      <c r="AG16" s="7"/>
      <c r="AH16" s="7"/>
      <c r="AI16" s="7"/>
      <c r="AJ16" s="7"/>
    </row>
    <row r="17" spans="1:36" ht="73.5" x14ac:dyDescent="0.2">
      <c r="A17" s="13" t="s">
        <v>6</v>
      </c>
      <c r="B17" s="13" t="s">
        <v>7</v>
      </c>
      <c r="C17" s="13"/>
      <c r="D17" s="13" t="s">
        <v>8</v>
      </c>
      <c r="E17" s="13"/>
      <c r="F17" s="13" t="s">
        <v>9</v>
      </c>
      <c r="G17" s="13" t="s">
        <v>10</v>
      </c>
      <c r="H17" s="13" t="s">
        <v>11</v>
      </c>
      <c r="I17" s="13" t="s">
        <v>12</v>
      </c>
      <c r="J17" s="13"/>
      <c r="K17" s="13" t="s">
        <v>64</v>
      </c>
      <c r="L17" s="13" t="s">
        <v>13</v>
      </c>
      <c r="M17" s="13" t="s">
        <v>61</v>
      </c>
      <c r="N17" s="13" t="s">
        <v>62</v>
      </c>
      <c r="O17" s="13" t="s">
        <v>14</v>
      </c>
      <c r="P17" s="14" t="s">
        <v>60</v>
      </c>
      <c r="Q17" s="13" t="s">
        <v>13</v>
      </c>
      <c r="R17" s="13" t="s">
        <v>15</v>
      </c>
      <c r="S17" s="13" t="s">
        <v>16</v>
      </c>
      <c r="T17" s="13" t="s">
        <v>17</v>
      </c>
      <c r="U17" s="13"/>
      <c r="V17" s="13" t="s">
        <v>67</v>
      </c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7"/>
    </row>
    <row r="18" spans="1:36" hidden="1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7"/>
      <c r="Q18" s="16"/>
      <c r="R18" s="16"/>
      <c r="S18" s="16"/>
      <c r="T18" s="16"/>
      <c r="U18" s="16"/>
      <c r="V18" s="16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7"/>
    </row>
    <row r="19" spans="1:36" x14ac:dyDescent="0.2">
      <c r="A19" s="16" t="s">
        <v>18</v>
      </c>
      <c r="B19" s="16" t="s">
        <v>19</v>
      </c>
      <c r="C19" s="16"/>
      <c r="D19" s="20">
        <v>6975</v>
      </c>
      <c r="E19" s="19"/>
      <c r="F19" s="20">
        <v>22789</v>
      </c>
      <c r="G19" s="16">
        <f>(F19/D19)/(F25/D25)</f>
        <v>1.3027756116500198</v>
      </c>
      <c r="H19" s="101">
        <f>'Расчет ИБР'!R7</f>
        <v>0.95873848802006256</v>
      </c>
      <c r="I19" s="21">
        <f>G19/H19</f>
        <v>1.3588435511131352</v>
      </c>
      <c r="J19" s="21"/>
      <c r="K19" s="25"/>
      <c r="L19" s="26"/>
      <c r="M19" s="22"/>
      <c r="N19" s="23"/>
      <c r="O19" s="108">
        <f>'субвенция на вырав.из РК'!F11-0.05</f>
        <v>275.10136727922929</v>
      </c>
      <c r="P19" s="109">
        <v>0</v>
      </c>
      <c r="Q19" s="110">
        <f>SUM(O19/(H19*D19*(F25/D25)))+G19/H19</f>
        <v>1.3752470667930592</v>
      </c>
      <c r="R19" s="110">
        <v>0</v>
      </c>
      <c r="S19" s="111">
        <f>O19+P19</f>
        <v>275.10136727922929</v>
      </c>
      <c r="T19" s="26">
        <f>SUM((O19+R19)/($H19*$D19*($F$25/$D$25)))+$G19/$H19</f>
        <v>1.3752470667930592</v>
      </c>
      <c r="U19" s="27"/>
      <c r="V19" s="27">
        <f>S19-275.1</f>
        <v>1.3672792292709346E-3</v>
      </c>
      <c r="W19" s="28"/>
      <c r="X19" s="29"/>
      <c r="Y19" s="18"/>
      <c r="Z19" s="30"/>
      <c r="AA19" s="31"/>
      <c r="AB19" s="18"/>
      <c r="AC19" s="18"/>
      <c r="AD19" s="32"/>
      <c r="AE19" s="33"/>
      <c r="AF19" s="33"/>
      <c r="AG19" s="32"/>
      <c r="AH19" s="18"/>
      <c r="AI19" s="18"/>
      <c r="AJ19" s="7"/>
    </row>
    <row r="20" spans="1:36" x14ac:dyDescent="0.2">
      <c r="A20" s="16" t="s">
        <v>20</v>
      </c>
      <c r="B20" s="16" t="s">
        <v>21</v>
      </c>
      <c r="C20" s="16"/>
      <c r="D20" s="20">
        <v>1413</v>
      </c>
      <c r="E20" s="19"/>
      <c r="F20" s="20">
        <v>2291</v>
      </c>
      <c r="G20" s="16">
        <f>(F20/D20)/(F25/D25)</f>
        <v>0.6465044085899363</v>
      </c>
      <c r="H20" s="101">
        <f>'Расчет ИБР'!R8</f>
        <v>0.94451537744209468</v>
      </c>
      <c r="I20" s="21">
        <f>G20/H20</f>
        <v>0.68448267125176743</v>
      </c>
      <c r="J20" s="27">
        <v>3</v>
      </c>
      <c r="K20" s="25">
        <f>$G$25*($G$8-I20)*H20*D20</f>
        <v>1871.1996631815798</v>
      </c>
      <c r="L20" s="26">
        <f t="shared" ref="L20:L23" si="0">SUM(K20/($H20*$D20*($F$25/$D$25)))+$G20/$H20</f>
        <v>1.2435414856995786</v>
      </c>
      <c r="M20" s="25">
        <f>$G$10*((($F$25/$D$25)*($G$8-I20)*H20*D20)/$A$29)</f>
        <v>502.70329819002444</v>
      </c>
      <c r="N20" s="26">
        <f>SUM((M20)/($H20*$D20*($F$25/$D$25)))+$G20/$H20</f>
        <v>0.83467546758183364</v>
      </c>
      <c r="O20" s="108">
        <f>'субвенция на вырав.из РК'!F12</f>
        <v>1346.8768222891963</v>
      </c>
      <c r="P20" s="109">
        <f>M20-O20</f>
        <v>-844.1735240991718</v>
      </c>
      <c r="Q20" s="110">
        <f>SUM((O20+P20)/(H20*D20*(F25/D25)))+G20/H20</f>
        <v>0.83467546758183364</v>
      </c>
      <c r="R20" s="110">
        <f>M20/$M$25*$R$25</f>
        <v>381.32106050993463</v>
      </c>
      <c r="S20" s="111">
        <f>O20+R20</f>
        <v>1728.1978827991309</v>
      </c>
      <c r="T20" s="26">
        <f>SUM((O20+R20)/(H20*D20*($F$25/$D$25)))+G20/H20</f>
        <v>1.2008168062452191</v>
      </c>
      <c r="U20" s="27">
        <v>2</v>
      </c>
      <c r="V20" s="27">
        <f>S20-1711.7</f>
        <v>16.497882799130821</v>
      </c>
      <c r="W20" s="28"/>
      <c r="X20" s="34"/>
      <c r="Y20" s="18"/>
      <c r="Z20" s="30"/>
      <c r="AA20" s="31"/>
      <c r="AB20" s="18"/>
      <c r="AC20" s="18"/>
      <c r="AD20" s="32"/>
      <c r="AE20" s="33"/>
      <c r="AF20" s="33"/>
      <c r="AG20" s="32"/>
      <c r="AH20" s="18"/>
      <c r="AI20" s="18"/>
      <c r="AJ20" s="7"/>
    </row>
    <row r="21" spans="1:36" x14ac:dyDescent="0.2">
      <c r="A21" s="16" t="s">
        <v>22</v>
      </c>
      <c r="B21" s="16" t="s">
        <v>23</v>
      </c>
      <c r="C21" s="16"/>
      <c r="D21" s="20">
        <v>1511</v>
      </c>
      <c r="E21" s="19"/>
      <c r="F21" s="20">
        <v>2621</v>
      </c>
      <c r="G21" s="16">
        <f>(F21/D21)/(F25/D25)</f>
        <v>0.69165754685161929</v>
      </c>
      <c r="H21" s="101">
        <f>'Расчет ИБР'!R9</f>
        <v>0.99392698534091795</v>
      </c>
      <c r="I21" s="21">
        <f>G21/H21</f>
        <v>0.69588365851077083</v>
      </c>
      <c r="J21" s="27">
        <v>2</v>
      </c>
      <c r="K21" s="25">
        <f t="shared" ref="K21:K23" si="1">$G$25*($G$8-I21)*H21*D21</f>
        <v>2062.7171618510533</v>
      </c>
      <c r="L21" s="26">
        <f t="shared" si="0"/>
        <v>1.2435414856995783</v>
      </c>
      <c r="M21" s="25">
        <f>$G$10*((($F$25/$D$25)*($G$8-I21)*H21*D21)/$A$29)</f>
        <v>554.15503802122464</v>
      </c>
      <c r="N21" s="26">
        <f>SUM((M21)/($H21*$D21*($F$25/$D$25)))+$G21/$H21</f>
        <v>0.84301354605002499</v>
      </c>
      <c r="O21" s="108">
        <f>'субвенция на вырав.из РК'!F13</f>
        <v>1253.1810433473395</v>
      </c>
      <c r="P21" s="109">
        <f>M21-O21</f>
        <v>-699.02600532611484</v>
      </c>
      <c r="Q21" s="110">
        <f>SUM((O21+P21)/(H21*D21*(F25/D25)))+G21/H21</f>
        <v>0.84301354605002499</v>
      </c>
      <c r="R21" s="110">
        <f>M21/$M$25*$R$25</f>
        <v>420.34931448828473</v>
      </c>
      <c r="S21" s="111">
        <f>O21+R21</f>
        <v>1673.5303578356243</v>
      </c>
      <c r="T21" s="26">
        <f>SUM((O21+R21)/(H21*D21*($F$25/$D$25)))+G21/H21</f>
        <v>1.1402111777932942</v>
      </c>
      <c r="U21" s="27">
        <v>3</v>
      </c>
      <c r="V21" s="27">
        <f>S21-1655.4</f>
        <v>18.130357835624181</v>
      </c>
      <c r="W21" s="28"/>
      <c r="X21" s="35"/>
      <c r="Y21" s="18"/>
      <c r="Z21" s="30"/>
      <c r="AA21" s="31"/>
      <c r="AB21" s="18"/>
      <c r="AC21" s="18"/>
      <c r="AD21" s="32"/>
      <c r="AE21" s="33"/>
      <c r="AF21" s="33"/>
      <c r="AG21" s="32"/>
      <c r="AH21" s="18"/>
      <c r="AI21" s="18"/>
      <c r="AJ21" s="7"/>
    </row>
    <row r="22" spans="1:36" x14ac:dyDescent="0.2">
      <c r="A22" s="16" t="s">
        <v>24</v>
      </c>
      <c r="B22" s="16" t="s">
        <v>25</v>
      </c>
      <c r="C22" s="16"/>
      <c r="D22" s="20">
        <v>1103</v>
      </c>
      <c r="E22" s="19"/>
      <c r="F22" s="20">
        <v>1538</v>
      </c>
      <c r="G22" s="16">
        <f>(F22/D22)/(F25/D25)</f>
        <v>0.55599308014814497</v>
      </c>
      <c r="H22" s="101">
        <f>'Расчет ИБР'!R11</f>
        <v>0.96401248358071157</v>
      </c>
      <c r="I22" s="21">
        <f>G22/H22</f>
        <v>0.57674883844135894</v>
      </c>
      <c r="J22" s="27">
        <v>1</v>
      </c>
      <c r="K22" s="25">
        <f>$G$25*($G$8-I22)*H22*D22</f>
        <v>1778.1173071012829</v>
      </c>
      <c r="L22" s="26">
        <f t="shared" si="0"/>
        <v>1.2435414856995786</v>
      </c>
      <c r="M22" s="25">
        <f>$G$10*((($F$25/$D$25)*($G$8-I22)*H22*D22)/$A$29)</f>
        <v>477.6964492013376</v>
      </c>
      <c r="N22" s="26">
        <f>SUM((M22)/($H22*$D22*($F$25/$D$25)))+$G22/$H22</f>
        <v>0.75588464611654294</v>
      </c>
      <c r="O22" s="108">
        <f>'субвенция на вырав.из РК'!F14</f>
        <v>1718.8125319305252</v>
      </c>
      <c r="P22" s="109">
        <f>M22-O22</f>
        <v>-1241.1160827291876</v>
      </c>
      <c r="Q22" s="110">
        <f>SUM((O22+P22)/(H22*D22*(F25/D25)))+G22/H22</f>
        <v>0.75588464611654294</v>
      </c>
      <c r="R22" s="110">
        <f>M22/$M$25*$R$25</f>
        <v>362.35234037081727</v>
      </c>
      <c r="S22" s="111">
        <f>O22+R22</f>
        <v>2081.1648723013423</v>
      </c>
      <c r="T22" s="26">
        <f>SUM((O22+R22)/(H22*D22*($F$25/$D$25)))+G22/H22</f>
        <v>1.357184093776052</v>
      </c>
      <c r="U22" s="27">
        <v>1</v>
      </c>
      <c r="V22" s="27">
        <f>S22-2065.7</f>
        <v>15.464872301342439</v>
      </c>
      <c r="W22" s="28"/>
      <c r="X22" s="35"/>
      <c r="Y22" s="18"/>
      <c r="Z22" s="30"/>
      <c r="AA22" s="31"/>
      <c r="AB22" s="18"/>
      <c r="AC22" s="18"/>
      <c r="AD22" s="32"/>
      <c r="AE22" s="33"/>
      <c r="AF22" s="33"/>
      <c r="AG22" s="32"/>
      <c r="AH22" s="18"/>
      <c r="AI22" s="18"/>
      <c r="AJ22" s="7"/>
    </row>
    <row r="23" spans="1:36" ht="15" thickBot="1" x14ac:dyDescent="0.25">
      <c r="A23" s="88" t="s">
        <v>26</v>
      </c>
      <c r="B23" s="88" t="s">
        <v>27</v>
      </c>
      <c r="C23" s="88"/>
      <c r="D23" s="89">
        <v>1392</v>
      </c>
      <c r="E23" s="90"/>
      <c r="F23" s="89">
        <v>1844</v>
      </c>
      <c r="G23" s="88">
        <f>(F23/D23)/(F25/D25)</f>
        <v>0.52821440999089941</v>
      </c>
      <c r="H23" s="102">
        <f>'Расчет ИБР'!R10</f>
        <v>0.95375097635553152</v>
      </c>
      <c r="I23" s="91">
        <f>G23/H23</f>
        <v>0.55382843434594398</v>
      </c>
      <c r="J23" s="94">
        <v>4</v>
      </c>
      <c r="K23" s="92">
        <f t="shared" si="1"/>
        <v>2296.434758172175</v>
      </c>
      <c r="L23" s="93">
        <f t="shared" si="0"/>
        <v>1.2435414856995783</v>
      </c>
      <c r="M23" s="92">
        <f>$G$10*((($F$25/$D$25)*($G$8-I23)*H23*D23)/$A$29)</f>
        <v>616.94395832057126</v>
      </c>
      <c r="N23" s="93">
        <f>SUM((M23)/($H23*$D23*($F$25/$D$25)))+$G23/$H23</f>
        <v>0.7391218760573709</v>
      </c>
      <c r="O23" s="112">
        <f>'субвенция на вырав.из РК'!F15</f>
        <v>1343.9782351537103</v>
      </c>
      <c r="P23" s="113">
        <f>M23-O23</f>
        <v>-727.03427683313907</v>
      </c>
      <c r="Q23" s="114">
        <f>SUM((O23+P23)/(H23*D23*(F25/D25)))+G23/H23</f>
        <v>0.7391218760573709</v>
      </c>
      <c r="R23" s="114">
        <f>M23/$M$25*$R$25</f>
        <v>467.97728463096342</v>
      </c>
      <c r="S23" s="115">
        <f>O23+R23</f>
        <v>1811.9555197846737</v>
      </c>
      <c r="T23" s="93">
        <f>SUM((O23+R23)/(H23*D23*($F$25/$D$25)))+G23/H23</f>
        <v>1.0980326038832742</v>
      </c>
      <c r="U23" s="94">
        <v>4</v>
      </c>
      <c r="V23" s="94">
        <f>S23-1792.1</f>
        <v>19.855519784673788</v>
      </c>
      <c r="W23" s="28"/>
      <c r="X23" s="35"/>
      <c r="Y23" s="18"/>
      <c r="Z23" s="30"/>
      <c r="AA23" s="31"/>
      <c r="AB23" s="18"/>
      <c r="AC23" s="18"/>
      <c r="AD23" s="32"/>
      <c r="AE23" s="33"/>
      <c r="AF23" s="33"/>
      <c r="AG23" s="32"/>
      <c r="AH23" s="18"/>
      <c r="AI23" s="18"/>
      <c r="AJ23" s="7"/>
    </row>
    <row r="24" spans="1:36" hidden="1" x14ac:dyDescent="0.2">
      <c r="A24" s="83"/>
      <c r="B24" s="83"/>
      <c r="C24" s="83"/>
      <c r="D24" s="84"/>
      <c r="E24" s="83"/>
      <c r="F24" s="84"/>
      <c r="G24" s="83"/>
      <c r="H24" s="103"/>
      <c r="I24" s="83"/>
      <c r="J24" s="83"/>
      <c r="K24" s="84"/>
      <c r="L24" s="84"/>
      <c r="M24" s="84"/>
      <c r="N24" s="84"/>
      <c r="O24" s="83"/>
      <c r="P24" s="85"/>
      <c r="Q24" s="83"/>
      <c r="R24" s="84"/>
      <c r="S24" s="86"/>
      <c r="T24" s="87"/>
      <c r="U24" s="87"/>
      <c r="V24" s="83">
        <f t="shared" ref="V24" si="2">S24-183</f>
        <v>-183</v>
      </c>
      <c r="X24" s="18"/>
      <c r="Y24" s="18"/>
      <c r="Z24" s="18"/>
      <c r="AA24" s="18"/>
      <c r="AB24" s="18"/>
      <c r="AC24" s="18"/>
      <c r="AD24" s="18"/>
      <c r="AE24" s="18"/>
      <c r="AF24" s="33"/>
      <c r="AG24" s="18"/>
      <c r="AH24" s="18"/>
      <c r="AI24" s="18"/>
      <c r="AJ24" s="7"/>
    </row>
    <row r="25" spans="1:36" ht="25.5" x14ac:dyDescent="0.2">
      <c r="A25" s="16"/>
      <c r="B25" s="16" t="s">
        <v>28</v>
      </c>
      <c r="C25" s="16"/>
      <c r="D25" s="25">
        <f>SUM(D19:D23)</f>
        <v>12394</v>
      </c>
      <c r="E25" s="16"/>
      <c r="F25" s="25">
        <f>SUM(F19:F23)</f>
        <v>31083</v>
      </c>
      <c r="G25" s="16">
        <f>F25/D25</f>
        <v>2.5079070517992577</v>
      </c>
      <c r="H25" s="104"/>
      <c r="I25" s="21">
        <f>(G8-I19)+(G8-I20)+(G8-I21)+(G8-I22)+(G8-I23)</f>
        <v>2.3479202748349164</v>
      </c>
      <c r="J25" s="21"/>
      <c r="K25" s="25">
        <f>K20+K21+K22+K23</f>
        <v>8008.4688903060905</v>
      </c>
      <c r="L25" s="25"/>
      <c r="M25" s="25">
        <f>SUM(M19:M23)</f>
        <v>2151.4987437331579</v>
      </c>
      <c r="N25" s="25"/>
      <c r="O25" s="25">
        <f>SUM(O19:O23)</f>
        <v>5937.9500000000007</v>
      </c>
      <c r="P25" s="24">
        <f>SUM(P19:P23)</f>
        <v>-3511.3498889876137</v>
      </c>
      <c r="Q25" s="16"/>
      <c r="R25" s="25">
        <v>1632</v>
      </c>
      <c r="S25" s="82">
        <f>SUM(S19:S23)</f>
        <v>7569.9500000000007</v>
      </c>
      <c r="T25" s="26"/>
      <c r="U25" s="26"/>
      <c r="V25" s="25">
        <f>SUM(V19:V23)</f>
        <v>69.9500000000005</v>
      </c>
      <c r="X25" s="18"/>
      <c r="Y25" s="18"/>
      <c r="Z25" s="18"/>
      <c r="AA25" s="18"/>
      <c r="AB25" s="18"/>
      <c r="AC25" s="32"/>
      <c r="AD25" s="32"/>
      <c r="AE25" s="33"/>
      <c r="AF25" s="33"/>
      <c r="AG25" s="18"/>
      <c r="AH25" s="18"/>
      <c r="AI25" s="18"/>
      <c r="AJ25" s="7"/>
    </row>
    <row r="26" spans="1:36" x14ac:dyDescent="0.2">
      <c r="F26" s="36"/>
      <c r="H26" s="105"/>
      <c r="I26" s="37"/>
      <c r="J26" s="37"/>
      <c r="K26" s="37"/>
      <c r="L26" s="37"/>
      <c r="P26" s="38"/>
    </row>
    <row r="27" spans="1:36" x14ac:dyDescent="0.2">
      <c r="H27" s="106"/>
    </row>
    <row r="29" spans="1:36" hidden="1" x14ac:dyDescent="0.2">
      <c r="A29">
        <f>((F25/D25)*(G8-I19)*H19*D19)+((F25/D25)*(G8-I20)*H20*D20)+((F25/D25)*(G8-I21)*H21*D21)+((F25/D25)*(G8-I22)*H22*D22)+((F25/D25)*(G8-I23)*H23*D23)</f>
        <v>6074.7519686214328</v>
      </c>
      <c r="Q29" t="s">
        <v>29</v>
      </c>
    </row>
  </sheetData>
  <mergeCells count="15">
    <mergeCell ref="A13:F13"/>
    <mergeCell ref="A14:F14"/>
    <mergeCell ref="A16:F16"/>
    <mergeCell ref="X16:AA16"/>
    <mergeCell ref="A10:F10"/>
    <mergeCell ref="X10:AA10"/>
    <mergeCell ref="A11:F11"/>
    <mergeCell ref="X11:AA11"/>
    <mergeCell ref="A12:F12"/>
    <mergeCell ref="X12:AA12"/>
    <mergeCell ref="A5:V5"/>
    <mergeCell ref="A6:V6"/>
    <mergeCell ref="A8:F8"/>
    <mergeCell ref="X8:AA8"/>
    <mergeCell ref="A9:F9"/>
  </mergeCells>
  <pageMargins left="0.31527777777777799" right="0.31527777777777799" top="0.74791666666666701" bottom="0.74791666666666701" header="0.51180555555555496" footer="0.51180555555555496"/>
  <pageSetup paperSize="9" scale="9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D17" sqref="D17"/>
    </sheetView>
  </sheetViews>
  <sheetFormatPr defaultRowHeight="14.25" x14ac:dyDescent="0.2"/>
  <cols>
    <col min="1" max="1025" width="8.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субвенция на вырав.из РК</vt:lpstr>
      <vt:lpstr>Расчет ИБР</vt:lpstr>
      <vt:lpstr>Расчет дотации</vt:lpstr>
      <vt:lpstr>Лист2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</cp:lastModifiedBy>
  <cp:revision>2</cp:revision>
  <cp:lastPrinted>2022-11-03T09:11:55Z</cp:lastPrinted>
  <dcterms:created xsi:type="dcterms:W3CDTF">2017-12-19T14:00:51Z</dcterms:created>
  <dcterms:modified xsi:type="dcterms:W3CDTF">2022-11-03T09:12:01Z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