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Материальные затраты и ОЦДИ" sheetId="1" state="visible" r:id="rId2"/>
    <sheet name="Распределение шт. числ.исходные" sheetId="2" state="visible" r:id="rId3"/>
    <sheet name="Оплата КУ" sheetId="3" state="visible" r:id="rId4"/>
    <sheet name="Заработная плата" sheetId="4" state="visible" r:id="rId5"/>
    <sheet name="Содержание объектов недв.имущ." sheetId="5" state="visible" r:id="rId6"/>
    <sheet name="Прочие общехозяйственные нужды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БН" sheetId="9" state="visible" r:id="rId10"/>
    <sheet name="Расчет коэф." sheetId="10" state="visible" r:id="rId11"/>
  </sheets>
  <definedNames>
    <definedName function="false" hidden="false" localSheetId="8" name="_xlnm.Print_Area" vbProcedure="false">БН!$A$3:$P$15</definedName>
    <definedName function="false" hidden="false" localSheetId="7" name="_xlnm.Print_Area" vbProcedure="false">'Зп не связ. с оказ.услуги '!$A$1:$H$44</definedName>
    <definedName function="false" hidden="false" localSheetId="0" name="_xlnm.Print_Area" vbProcedure="false">'Материальные затраты и ОЦДИ'!$A$1:$G$10</definedName>
    <definedName function="false" hidden="false" localSheetId="2" name="_xlnm.Print_Area" vbProcedure="false">'Оплата КУ'!$A$1:$N$35</definedName>
    <definedName function="false" hidden="false" localSheetId="9" name="_xlnm.Print_Area" vbProcedure="false">'Расчет коэф.'!$A$2:$P$21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<sst xmlns="http://schemas.openxmlformats.org/spreadsheetml/2006/main" count="373" uniqueCount="175">
  <si>
    <t xml:space="preserve">Расчет затрат на материальные запасы и ОЦДИ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</si>
  <si>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ресурсов- 295,0 тыс. рублей  и ОЦДИ - 100тыс. рублей (с учетом полезного использования).</t>
  </si>
  <si>
    <t xml:space="preserve">Всего потребителей услуг-481 человек</t>
  </si>
  <si>
    <t xml:space="preserve">Наименование показателя</t>
  </si>
  <si>
    <t xml:space="preserve">Реализация дополнительных общеобразовательных общеразвивающих программ художественной направленности</t>
  </si>
  <si>
    <t xml:space="preserve">Реализация дополнительных общеобразовательных общеразвивающих программ социально-педагогической направленности</t>
  </si>
  <si>
    <t xml:space="preserve">Реализация дополнительных общеобразовательных общеразвивающих программ физкультурно-спортивной направленности</t>
  </si>
  <si>
    <t xml:space="preserve">Реализация дополнительных общеобразовательных общеразвивающих программ технической направленности</t>
  </si>
  <si>
    <t xml:space="preserve">Реализация дополнительных общеобразовательных общеразвивающих программ естественнонаучной направленности</t>
  </si>
  <si>
    <t xml:space="preserve">Количесто получателей услуг (чел)</t>
  </si>
  <si>
    <t xml:space="preserve">Затраты- всего (рублей)</t>
  </si>
  <si>
    <t xml:space="preserve">Норматив на 1 го плучателя услуг</t>
  </si>
  <si>
    <t xml:space="preserve">Затраты на услугу</t>
  </si>
  <si>
    <t xml:space="preserve">ИСХОДНЫЕ ДАННЫЕ</t>
  </si>
  <si>
    <t xml:space="preserve">УЧРЕЖДЕНИЕ: МУНИЦИПАЛЬНОЕ БЮДЖЕТНОЕ УЧРЕЖДЕНИЕ  ЦЕНТР ДЕТСКОГО ТВОРЧЕСТВА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</si>
  <si>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художественной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</si>
  <si>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2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социально-педагогической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</si>
  <si>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физкультурно-спортивной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</si>
  <si>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4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технической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</si>
  <si>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УСЛУГА 5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естественнонаучной направленности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</si>
  <si>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 численность учащихся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</si>
  <si>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</si>
  <si>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</si>
  <si>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</si>
  <si>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</si>
  <si>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</si>
  <si>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час. неделя</t>
  </si>
  <si>
    <t xml:space="preserve">Заведующий отделом</t>
  </si>
  <si>
    <t xml:space="preserve">Директор</t>
  </si>
  <si>
    <t xml:space="preserve">Педагог-организатор</t>
  </si>
  <si>
    <t xml:space="preserve">Заместитель директора</t>
  </si>
  <si>
    <t xml:space="preserve">Старший методист</t>
  </si>
  <si>
    <t xml:space="preserve">Программист</t>
  </si>
  <si>
    <t xml:space="preserve">Методист</t>
  </si>
  <si>
    <t xml:space="preserve">Специалист по кадрам</t>
  </si>
  <si>
    <t xml:space="preserve">Концертмейстер</t>
  </si>
  <si>
    <t xml:space="preserve">Библиотекарь</t>
  </si>
  <si>
    <t xml:space="preserve">Педагог дополнительного образования</t>
  </si>
  <si>
    <t xml:space="preserve">Лаборант</t>
  </si>
  <si>
    <t xml:space="preserve">Заведующий мастерскими</t>
  </si>
  <si>
    <t xml:space="preserve">Заведующий хозяйственным отделом</t>
  </si>
  <si>
    <t xml:space="preserve">Костюмер</t>
  </si>
  <si>
    <t xml:space="preserve">Художник оформитель</t>
  </si>
  <si>
    <t xml:space="preserve">Рабочий по обслуживанию здания</t>
  </si>
  <si>
    <t xml:space="preserve">Рабочий по техническому обслуживанию зданий</t>
  </si>
  <si>
    <t xml:space="preserve">Гардеробщик</t>
  </si>
  <si>
    <t xml:space="preserve">Сторож</t>
  </si>
  <si>
    <t xml:space="preserve">Уборщик служебных помещений</t>
  </si>
  <si>
    <t xml:space="preserve">Садовник</t>
  </si>
  <si>
    <t xml:space="preserve">Кладовщик </t>
  </si>
  <si>
    <t xml:space="preserve">Дворник</t>
  </si>
  <si>
    <t xml:space="preserve">Звукооператор</t>
  </si>
  <si>
    <t xml:space="preserve">Стимулирующие выплаты</t>
  </si>
  <si>
    <t xml:space="preserve">Затраты на оплату коммунальных услуг</t>
  </si>
  <si>
    <t xml:space="preserve">Количество потребителей услуг на имущественном коплексе г. Лахденпохья, ул. Пионерская, д. 5. -481 человек.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</si>
  <si>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</si>
  <si>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</si>
  <si>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</si>
  <si>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получателей данного вида услуг в общем обЪеме получателей услуг</t>
  </si>
  <si>
    <t xml:space="preserve">Нормативный объем</t>
  </si>
  <si>
    <t xml:space="preserve">Норма ресурса на 1 единицу услуги</t>
  </si>
  <si>
    <t xml:space="preserve">Тариф (цена)</t>
  </si>
  <si>
    <t xml:space="preserve">Нормативные затраты</t>
  </si>
  <si>
    <t xml:space="preserve">Общее полезное время использования имущественного комплекса</t>
  </si>
  <si>
    <t xml:space="preserve">Время использования имущественного комплекса на 1 потребителя</t>
  </si>
  <si>
    <t xml:space="preserve">Реализация дополнительных общеобразовательных общеразвивающих программ художественной направленности 332 человек, уд.вес 330/481=0,70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</si>
  <si>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</si>
  <si>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</si>
  <si>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</si>
  <si>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</si>
  <si>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</t>
  </si>
  <si>
    <t xml:space="preserve">куб.м</t>
  </si>
  <si>
    <t xml:space="preserve">Жидкие ТБО</t>
  </si>
  <si>
    <t xml:space="preserve">Реализация дополнительных общеобразовательных общеразвивающих программ социально-педагогической направленности 37 человек, уд.вес 37/481=0,08</t>
  </si>
  <si>
    <t xml:space="preserve">Реализация дополнительных общеобразовательных общеразвивающих программ физкультурно-спортивной направленности 24 человека, уд.вес 24/481=0,05</t>
  </si>
  <si>
    <t xml:space="preserve">Реализация дополнительных общеобразовательных общеразвивающих программ технической направленности 57 человека, уд.вес 57/481=0,12</t>
  </si>
  <si>
    <t xml:space="preserve">Реализация дополнительных общеобразовательных общеразвивающих программ естественнонаучной направленности 33 человек, уд.вес 33/481=0,07 </t>
  </si>
  <si>
    <t xml:space="preserve">ЗАТРАТЫ НА ЗАРАБОТНУЮ ПЛАТУ С НАЧИСЛЕНИЯМИ РАБОТНИКОВ, НЕПОСРЕДСТВЕННО СВЯЗАННЫХ С ОКАЗАНИЕМ УСЛУГИ</t>
  </si>
  <si>
    <t xml:space="preserve">Количество потребителей услуг-481 человек.</t>
  </si>
  <si>
    <t xml:space="preserve">Рабочих часов в год: 1772,4 часа - производственный календарь на 2018год</t>
  </si>
  <si>
    <t xml:space="preserve"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</si>
  <si>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</si>
  <si>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Количество затраченных человеко-часов</t>
  </si>
  <si>
    <t xml:space="preserve">Количество потребителей услуги</t>
  </si>
  <si>
    <t xml:space="preserve">Норма трудозатрат на оказание 1 ед. услуги</t>
  </si>
  <si>
    <t xml:space="preserve">Стоимость одного человека-часа </t>
  </si>
  <si>
    <t xml:space="preserve">стимулирующие выплаты</t>
  </si>
  <si>
    <t xml:space="preserve">ИТОГО ОПЛАТА ТРУДА</t>
  </si>
  <si>
    <t xml:space="preserve">Педагог дополнительного образования не на имущественном комплексе по адресу г.Лахденпохья, Пионерская,5 </t>
  </si>
  <si>
    <t xml:space="preserve">средняя годовая норма раб. Времени на 1 ст.</t>
  </si>
  <si>
    <t xml:space="preserve">к-во  чел.час. На 1 потребителя - время использования имущественного комплекса на 1 потребителя</t>
  </si>
  <si>
    <t xml:space="preserve">к-во  чел.час. На 1 потребителя - время использования имущественного комплекса на 1 потребителя без учета села и города</t>
  </si>
  <si>
    <t xml:space="preserve">ЗАТРАТЫ НА СОДЕРЖАНИЕ ОБЪЕКТОВ НЕДВИЖИМОГО ИМУЩЕСТВА</t>
  </si>
  <si>
    <t xml:space="preserve">Наименование затрат </t>
  </si>
  <si>
    <t xml:space="preserve">Ед.измерения нормы</t>
  </si>
  <si>
    <t xml:space="preserve">Тариф (цена), рублей</t>
  </si>
  <si>
    <t xml:space="preserve">Норма затрат на 1 ед. услуги</t>
  </si>
  <si>
    <t xml:space="preserve">Реализация дополнительных общеобразовательных общеразвивающих программ художественной направленности 330 человек, уд.вес 330/481=0,70</t>
  </si>
  <si>
    <t xml:space="preserve">Очистка кан. Колодцев </t>
  </si>
  <si>
    <t xml:space="preserve">Техническое обслуживание системы передачи извещений</t>
  </si>
  <si>
    <t xml:space="preserve">Обслуживание АПС</t>
  </si>
  <si>
    <t xml:space="preserve">Услуги охраны</t>
  </si>
  <si>
    <t xml:space="preserve">Дезинсекция </t>
  </si>
  <si>
    <t xml:space="preserve">ремонт электропроводки</t>
  </si>
  <si>
    <t xml:space="preserve">ремонт водопроводных сетей</t>
  </si>
  <si>
    <t xml:space="preserve">испытание пожарных рукавов</t>
  </si>
  <si>
    <t xml:space="preserve">услуги ТО узла учета тепла</t>
  </si>
  <si>
    <t xml:space="preserve">Промывка и опрессовка системы</t>
  </si>
  <si>
    <t xml:space="preserve">Вывоз и утилизация мусора</t>
  </si>
  <si>
    <t xml:space="preserve">Обработка территории от кл.энц.</t>
  </si>
  <si>
    <t xml:space="preserve">Уплата налогов на им.</t>
  </si>
  <si>
    <t xml:space="preserve">Уплата налогов землю</t>
  </si>
  <si>
    <t xml:space="preserve">ИТОГО СОДЕРЖАНИЕ ОБЪЕКТОВ НЕДВИЖИМОГО ИМУЩЕСТВА</t>
  </si>
  <si>
    <t xml:space="preserve">При планировании бюджетных ассигнований на 2019 год и плановый период 2020-2021 годы главным распорядителем подтверждены потребность на приобретение материальных ресурсов- 295,0 тыс. рублей  и ОЦДИ - 100 тыс. рублей (с учетом полезного использования).</t>
  </si>
  <si>
    <t xml:space="preserve">ЗАТРАТЫ НА СОДЕРЖАНИЕ ОБЪЕКТОВ ОЦДИ, УСЛУГ СВЯЗИ, транспортные услуги</t>
  </si>
  <si>
    <t xml:space="preserve">Наименование затрат</t>
  </si>
  <si>
    <t xml:space="preserve">Ед. изм. Нормы</t>
  </si>
  <si>
    <t xml:space="preserve">Заправка и ремонт картриджей</t>
  </si>
  <si>
    <t xml:space="preserve">кол-во устройств, единиц</t>
  </si>
  <si>
    <t xml:space="preserve">ИТОГО СОДЕРЖАНИЕ ОЦДИ</t>
  </si>
  <si>
    <t xml:space="preserve">Абонентская плата "Ростелеком"</t>
  </si>
  <si>
    <t xml:space="preserve">кол-во номеров, единиц</t>
  </si>
  <si>
    <t xml:space="preserve">Внутризоновые соединения</t>
  </si>
  <si>
    <t xml:space="preserve">Междугородние соединения</t>
  </si>
  <si>
    <t xml:space="preserve">Услуга доступа в "Интернет"</t>
  </si>
  <si>
    <t xml:space="preserve">Абонетская плата "Билайн"</t>
  </si>
  <si>
    <t xml:space="preserve">ИТОГО УСЛУГИ СВЯЗИ</t>
  </si>
  <si>
    <t xml:space="preserve">Проезд Лахденпохья -Петрозаводск</t>
  </si>
  <si>
    <t xml:space="preserve">кол-во поездок, единиц</t>
  </si>
  <si>
    <t xml:space="preserve">Проезд Лахденпохья -Сортавала</t>
  </si>
  <si>
    <t xml:space="preserve">По району</t>
  </si>
  <si>
    <t xml:space="preserve">ИТОГО ТРАНСПОРТНЫЕ УСЛУГИ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</si>
  <si>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</si>
  <si>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Должность по штатному расписанию</t>
  </si>
  <si>
    <t xml:space="preserve">МФОТ</t>
  </si>
  <si>
    <t xml:space="preserve">ГФОТ с учетом ставок и отчислений</t>
  </si>
  <si>
    <t xml:space="preserve">Зам. Директора</t>
  </si>
  <si>
    <t xml:space="preserve">Рабочий по обслуживанию зданий</t>
  </si>
  <si>
    <t xml:space="preserve">Кладовщик</t>
  </si>
  <si>
    <t xml:space="preserve">С учетом положений Федерального закона от 19 июня 2000 года № 82-ФЗ "О минимальном размере оплаты труда" (в редакции Федерального закона от 7 марта 2018 года № 41-ФЗ "О внесении изменения в статью 1 Федерального закона "О минимальном размере оплаты труда").</t>
  </si>
  <si>
    <t xml:space="preserve">Стимулирующие </t>
  </si>
  <si>
    <t xml:space="preserve">ночные</t>
  </si>
  <si>
    <t xml:space="preserve">праздничные</t>
  </si>
  <si>
    <t xml:space="preserve">мат.помощь</t>
  </si>
  <si>
    <t xml:space="preserve">Итого надбавки</t>
  </si>
  <si>
    <t xml:space="preserve">ИТОГО НОРМАТИВ</t>
  </si>
  <si>
    <t xml:space="preserve">БАЗОВЫЙ НОРМАТИВ ЗАТРАТ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</si>
  <si>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</si>
  <si>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</si>
  <si>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</si>
  <si>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</si>
  <si>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</si>
  <si>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</si>
  <si>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</si>
  <si>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</si>
  <si>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</si>
  <si>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</si>
  <si>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</si>
  <si>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</si>
  <si>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</si>
  <si>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</si>
  <si>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12=2+3+4+5+6+7+8+9+10+11</t>
  </si>
  <si>
    <t xml:space="preserve">Реализация дополнительных общеобразовательных общеразвивающих программ художественной направленности 330 человек, уд.вес 330/481=0,7</t>
  </si>
  <si>
    <t xml:space="preserve">Реализация дополнительных общеобразовательных общеразвивающих программ естественнонаучной направленности 33 человек, уд.вес 33/468=0,07 </t>
  </si>
  <si>
    <t xml:space="preserve">Приложение 2</t>
  </si>
  <si>
    <t xml:space="preserve">БАЗОВЫЙ НОРМАТИВ и  расчет коэффициентов</t>
  </si>
  <si>
    <t xml:space="preserve">к Постановлению Администрации Лахденпохского муниципального района №_____ от _____</t>
  </si>
  <si>
    <t xml:space="preserve">МБО ДО ЛЦДТ</t>
  </si>
  <si>
    <t xml:space="preserve">Всего получателей услуг</t>
  </si>
  <si>
    <t xml:space="preserve">∑ затрат на оказание услуги</t>
  </si>
  <si>
    <t xml:space="preserve">Всего получателей услуг на им. Комплексе уч-я</t>
  </si>
  <si>
    <t xml:space="preserve">∑ затрат на оказание услуги на им.комплексеуч-я</t>
  </si>
  <si>
    <t xml:space="preserve">14=12*13</t>
  </si>
  <si>
    <t xml:space="preserve">K=  ∑затрат  на оказание услуг  имущественном комплексе учреждения/ ∑затрат на оказание услуг всего</t>
  </si>
  <si>
    <t xml:space="preserve">Коэффициент платной деятельности 18346,9/(18346,9+1410 (ПД 2017 г.)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</si>
</sst>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.0"/>
    <numFmt numFmtId="167" formatCode="#,##0.00"/>
    <numFmt numFmtId="168" formatCode="0.0000"/>
    <numFmt numFmtId="169" formatCode="0"/>
    <numFmt numFmtId="170" formatCode="0.00000000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9.59"/>
    <col collapsed="false" customWidth="true" hidden="false" outlineLevel="0" max="3" min="3" style="1" width="23.01"/>
    <col collapsed="false" customWidth="true" hidden="false" outlineLevel="0" max="4" min="4" style="1" width="22.57"/>
    <col collapsed="false" customWidth="true" hidden="false" outlineLevel="0" max="5" min="5" style="1" width="24"/>
    <col collapsed="false" customWidth="true" hidden="false" outlineLevel="0" max="6" min="6" style="1" width="21.57"/>
    <col collapsed="false" customWidth="true" hidden="false" outlineLevel="0" max="7" min="7" style="1" width="23.28"/>
    <col collapsed="false" customWidth="true" hidden="false" outlineLevel="0" max="1025" min="8" style="1" width="9.13"/>
  </cols>
  <sheetData>
    <row r="1" customFormat="false" ht="35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28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45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26" hidden="false" customHeight="false" outlineLevel="0" collapsed="false">
      <c r="A4" s="4" t="s">
        <v>3</v>
      </c>
      <c r="B4" s="4"/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customFormat="false" ht="47.25" hidden="false" customHeight="false" outlineLevel="0" collapsed="false">
      <c r="A5" s="5" t="s">
        <v>9</v>
      </c>
      <c r="B5" s="5" t="n">
        <f aca="false">SUM(C5:G5)</f>
        <v>481</v>
      </c>
      <c r="C5" s="6" t="n">
        <v>330</v>
      </c>
      <c r="D5" s="6" t="n">
        <v>37</v>
      </c>
      <c r="E5" s="6" t="n">
        <v>24</v>
      </c>
      <c r="F5" s="6" t="n">
        <v>57</v>
      </c>
      <c r="G5" s="6" t="n">
        <v>33</v>
      </c>
    </row>
    <row r="6" customFormat="false" ht="34.5" hidden="false" customHeight="true" outlineLevel="0" collapsed="false">
      <c r="A6" s="4" t="s">
        <v>10</v>
      </c>
      <c r="B6" s="4" t="n">
        <v>0</v>
      </c>
      <c r="C6" s="7"/>
      <c r="D6" s="7"/>
      <c r="E6" s="7"/>
      <c r="F6" s="7"/>
      <c r="G6" s="7"/>
    </row>
    <row r="7" customFormat="false" ht="31.5" hidden="false" customHeight="false" outlineLevel="0" collapsed="false">
      <c r="A7" s="4" t="s">
        <v>11</v>
      </c>
      <c r="B7" s="8" t="n">
        <f aca="false">SUM(B6/B5)</f>
        <v>0</v>
      </c>
      <c r="C7" s="9" t="n">
        <f aca="false">C5/B5</f>
        <v>0.686070686070686</v>
      </c>
      <c r="D7" s="10" t="n">
        <f aca="false">D5/B5</f>
        <v>0.0769230769230769</v>
      </c>
      <c r="E7" s="10" t="n">
        <f aca="false">E5/B5</f>
        <v>0.0498960498960499</v>
      </c>
      <c r="F7" s="10" t="n">
        <f aca="false">F5/B5</f>
        <v>0.118503118503119</v>
      </c>
      <c r="G7" s="10" t="n">
        <f aca="false">G5/B5</f>
        <v>0.0686070686070686</v>
      </c>
    </row>
    <row r="8" customFormat="false" ht="21" hidden="false" customHeight="true" outlineLevel="0" collapsed="false">
      <c r="A8" s="4" t="s">
        <v>12</v>
      </c>
      <c r="B8" s="7"/>
      <c r="C8" s="10" t="n">
        <f aca="false">SUM(B7*C5)</f>
        <v>0</v>
      </c>
      <c r="D8" s="10" t="n">
        <f aca="false">SUM(B7*D5)</f>
        <v>0</v>
      </c>
      <c r="E8" s="10" t="n">
        <f aca="false">SUM(B7*E5)</f>
        <v>0</v>
      </c>
      <c r="F8" s="10" t="n">
        <f aca="false">SUM(B7*F5)</f>
        <v>0</v>
      </c>
      <c r="G8" s="10" t="n">
        <f aca="false">SUM(B7*G5)</f>
        <v>0</v>
      </c>
    </row>
    <row r="10" customFormat="false" ht="15" hidden="false" customHeight="false" outlineLevel="0" collapsed="false">
      <c r="C10" s="1" t="n">
        <f aca="false">SUM(C5/B5)*100</f>
        <v>68.6070686070686</v>
      </c>
      <c r="D10" s="1" t="n">
        <f aca="false">SUM(D5/B5*100)</f>
        <v>7.69230769230769</v>
      </c>
      <c r="E10" s="1" t="n">
        <f aca="false">SUM(E5/B5*100)</f>
        <v>4.98960498960499</v>
      </c>
      <c r="F10" s="1" t="n">
        <f aca="false">SUM(F5/B5*100)</f>
        <v>11.8503118503119</v>
      </c>
      <c r="G10" s="1" t="n">
        <f aca="false">SUM(G5/B5*100)</f>
        <v>6.86070686070686</v>
      </c>
    </row>
    <row r="12" customFormat="false" ht="15" hidden="false" customHeight="false" outlineLevel="0" collapsed="false">
      <c r="C12" s="1" t="n">
        <v>60</v>
      </c>
      <c r="D12" s="1" t="n">
        <v>72</v>
      </c>
    </row>
    <row r="13" customFormat="false" ht="15" hidden="false" customHeight="false" outlineLevel="0" collapsed="false">
      <c r="C13" s="1" t="n">
        <v>15</v>
      </c>
      <c r="D13" s="1" t="n">
        <v>6</v>
      </c>
    </row>
    <row r="14" customFormat="false" ht="15" hidden="false" customHeight="false" outlineLevel="0" collapsed="false">
      <c r="C14" s="1" t="n">
        <v>13</v>
      </c>
      <c r="D14" s="1" t="n">
        <v>9</v>
      </c>
    </row>
    <row r="15" customFormat="false" ht="15" hidden="false" customHeight="false" outlineLevel="0" collapsed="false">
      <c r="C15" s="1" t="n">
        <v>9</v>
      </c>
      <c r="D15" s="1" t="n">
        <v>8</v>
      </c>
    </row>
    <row r="16" customFormat="false" ht="15" hidden="false" customHeight="false" outlineLevel="0" collapsed="false">
      <c r="C16" s="1" t="n">
        <v>3</v>
      </c>
      <c r="D16" s="1" t="n">
        <v>5</v>
      </c>
    </row>
    <row r="17" customFormat="false" ht="15" hidden="false" customHeight="false" outlineLevel="0" collapsed="false">
      <c r="C17" s="1" t="n">
        <f aca="false">SUM(C12:C16)</f>
        <v>100</v>
      </c>
      <c r="D17" s="1" t="n">
        <f aca="false">SUM(D12:D16)</f>
        <v>100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21"/>
  <sheetViews>
    <sheetView showFormulas="false" showGridLines="true" showRowColHeaders="true" showZeros="true" rightToLeft="false" tabSelected="true" showOutlineSymbols="true" defaultGridColor="true" view="normal" topLeftCell="B1" colorId="64" zoomScale="75" zoomScaleNormal="75" zoomScalePageLayoutView="100" workbookViewId="0">
      <selection pane="topLeft" activeCell="C2" activeCellId="0" sqref="C2"/>
    </sheetView>
  </sheetViews>
  <sheetFormatPr defaultRowHeight="15" zeroHeight="false" outlineLevelRow="0" outlineLevelCol="0"/>
  <cols>
    <col collapsed="false" customWidth="true" hidden="false" outlineLevel="0" max="1" min="1" style="26" width="54.14"/>
    <col collapsed="false" customWidth="true" hidden="false" outlineLevel="0" max="2" min="2" style="26" width="12.71"/>
    <col collapsed="false" customWidth="true" hidden="false" outlineLevel="0" max="3" min="3" style="26" width="11.14"/>
    <col collapsed="false" customWidth="true" hidden="false" outlineLevel="0" max="5" min="4" style="26" width="9.85"/>
    <col collapsed="false" customWidth="true" hidden="false" outlineLevel="0" max="6" min="6" style="26" width="10.58"/>
    <col collapsed="false" customWidth="true" hidden="false" outlineLevel="0" max="7" min="7" style="26" width="9.42"/>
    <col collapsed="false" customWidth="true" hidden="false" outlineLevel="0" max="9" min="8" style="26" width="9.71"/>
    <col collapsed="false" customWidth="true" hidden="false" outlineLevel="0" max="11" min="10" style="26" width="10.85"/>
    <col collapsed="false" customWidth="true" hidden="false" outlineLevel="0" max="12" min="12" style="26" width="19"/>
    <col collapsed="false" customWidth="true" hidden="false" outlineLevel="0" max="13" min="13" style="26" width="16"/>
    <col collapsed="false" customWidth="true" hidden="false" outlineLevel="0" max="14" min="14" style="26" width="11.86"/>
    <col collapsed="false" customWidth="true" hidden="false" outlineLevel="0" max="15" min="15" style="26" width="16.29"/>
    <col collapsed="false" customWidth="true" hidden="false" outlineLevel="0" max="16" min="16" style="26" width="18.71"/>
    <col collapsed="false" customWidth="true" hidden="false" outlineLevel="0" max="17" min="17" style="26" width="11.14"/>
    <col collapsed="false" customWidth="true" hidden="false" outlineLevel="0" max="1025" min="18" style="26" width="9.13"/>
  </cols>
  <sheetData>
    <row r="1" customFormat="false" ht="13.8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</row>
    <row r="2" customFormat="false" ht="15" hidden="false" customHeight="false" outlineLevel="0" collapsed="false">
      <c r="A2" s="0"/>
      <c r="B2" s="0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</row>
    <row r="3" customFormat="false" ht="15" hidden="false" customHeight="true" outlineLevel="0" collapsed="false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N3" s="119" t="s">
        <v>164</v>
      </c>
      <c r="O3" s="119"/>
      <c r="P3" s="119"/>
    </row>
    <row r="4" customFormat="false" ht="38" hidden="false" customHeight="true" outlineLevel="0" collapsed="false">
      <c r="A4" s="95"/>
      <c r="B4" s="95"/>
      <c r="C4" s="120" t="s">
        <v>165</v>
      </c>
      <c r="D4" s="120"/>
      <c r="E4" s="120"/>
      <c r="F4" s="120"/>
      <c r="G4" s="95"/>
      <c r="H4" s="95"/>
      <c r="I4" s="95"/>
      <c r="J4" s="95"/>
      <c r="K4" s="95"/>
      <c r="L4" s="95"/>
      <c r="N4" s="119" t="s">
        <v>166</v>
      </c>
      <c r="O4" s="119"/>
      <c r="P4" s="119"/>
    </row>
    <row r="5" customFormat="false" ht="15" hidden="false" customHeight="false" outlineLevel="0" collapsed="false">
      <c r="A5" s="95"/>
      <c r="B5" s="95"/>
      <c r="C5" s="95"/>
      <c r="D5" s="121" t="s">
        <v>167</v>
      </c>
      <c r="E5" s="95"/>
      <c r="F5" s="95"/>
      <c r="G5" s="95"/>
      <c r="H5" s="95"/>
      <c r="I5" s="95"/>
      <c r="J5" s="95"/>
      <c r="K5" s="95"/>
      <c r="L5" s="95"/>
    </row>
    <row r="6" customFormat="false" ht="32.25" hidden="false" customHeight="true" outlineLevel="0" collapsed="false">
      <c r="A6" s="96" t="s">
        <v>147</v>
      </c>
      <c r="B6" s="97" t="s">
        <v>148</v>
      </c>
      <c r="C6" s="97"/>
      <c r="D6" s="97"/>
      <c r="E6" s="122" t="s">
        <v>149</v>
      </c>
      <c r="F6" s="122"/>
      <c r="G6" s="122"/>
      <c r="H6" s="122"/>
      <c r="I6" s="122"/>
      <c r="J6" s="122"/>
      <c r="K6" s="122"/>
      <c r="L6" s="96" t="s">
        <v>150</v>
      </c>
      <c r="M6" s="123" t="s">
        <v>168</v>
      </c>
      <c r="N6" s="124" t="s">
        <v>169</v>
      </c>
      <c r="O6" s="125" t="s">
        <v>170</v>
      </c>
      <c r="P6" s="125" t="s">
        <v>171</v>
      </c>
    </row>
    <row r="7" customFormat="false" ht="31.5" hidden="false" customHeight="false" outlineLevel="0" collapsed="false">
      <c r="A7" s="96"/>
      <c r="B7" s="100" t="s">
        <v>151</v>
      </c>
      <c r="C7" s="101" t="s">
        <v>152</v>
      </c>
      <c r="D7" s="101" t="s">
        <v>153</v>
      </c>
      <c r="E7" s="101" t="s">
        <v>154</v>
      </c>
      <c r="F7" s="101" t="s">
        <v>155</v>
      </c>
      <c r="G7" s="101" t="s">
        <v>156</v>
      </c>
      <c r="H7" s="101" t="s">
        <v>157</v>
      </c>
      <c r="I7" s="101" t="s">
        <v>158</v>
      </c>
      <c r="J7" s="101" t="s">
        <v>159</v>
      </c>
      <c r="K7" s="126" t="s">
        <v>160</v>
      </c>
      <c r="L7" s="96"/>
      <c r="M7" s="123"/>
      <c r="N7" s="124"/>
      <c r="O7" s="125"/>
      <c r="P7" s="125"/>
    </row>
    <row r="8" s="132" customFormat="true" ht="32.25" hidden="false" customHeight="true" outlineLevel="0" collapsed="false">
      <c r="A8" s="102" t="n">
        <v>1</v>
      </c>
      <c r="B8" s="103" t="n">
        <v>2</v>
      </c>
      <c r="C8" s="104" t="n">
        <v>3</v>
      </c>
      <c r="D8" s="104" t="n">
        <v>4</v>
      </c>
      <c r="E8" s="104" t="n">
        <v>5</v>
      </c>
      <c r="F8" s="104" t="n">
        <v>6</v>
      </c>
      <c r="G8" s="104" t="n">
        <v>7</v>
      </c>
      <c r="H8" s="104" t="n">
        <v>8</v>
      </c>
      <c r="I8" s="104" t="n">
        <v>9</v>
      </c>
      <c r="J8" s="104" t="n">
        <v>10</v>
      </c>
      <c r="K8" s="127" t="n">
        <v>11</v>
      </c>
      <c r="L8" s="128" t="s">
        <v>161</v>
      </c>
      <c r="M8" s="129" t="n">
        <v>13</v>
      </c>
      <c r="N8" s="130" t="s">
        <v>172</v>
      </c>
      <c r="O8" s="131" t="n">
        <v>15</v>
      </c>
      <c r="P8" s="131" t="n">
        <v>16</v>
      </c>
    </row>
    <row r="9" customFormat="false" ht="91.5" hidden="false" customHeight="true" outlineLevel="0" collapsed="false">
      <c r="A9" s="105" t="s">
        <v>162</v>
      </c>
      <c r="B9" s="106" t="n">
        <f aca="false">'Заработная плата'!H15</f>
        <v>15485.1473130667</v>
      </c>
      <c r="C9" s="107" t="n">
        <f aca="false">SUM('Материальные затраты и ОЦДИ'!B7)</f>
        <v>0</v>
      </c>
      <c r="D9" s="107" t="n">
        <v>0</v>
      </c>
      <c r="E9" s="107" t="n">
        <f aca="false">'Оплата КУ'!N10</f>
        <v>3135.76666666667</v>
      </c>
      <c r="F9" s="107" t="n">
        <f aca="false">'Содержание объектов недв.имущ.'!H18</f>
        <v>1132.83693939394</v>
      </c>
      <c r="G9" s="107" t="n">
        <f aca="false">SUM('Содержание объектов,связь, тран'!I5)</f>
        <v>22.2</v>
      </c>
      <c r="H9" s="107" t="n">
        <f aca="false">SUM('Содержание объектов,связь, тран'!I13)</f>
        <v>157.999123820144</v>
      </c>
      <c r="I9" s="107" t="n">
        <f aca="false">SUM('Содержание объектов,связь, тран'!I20)</f>
        <v>49.478672985782</v>
      </c>
      <c r="J9" s="107" t="n">
        <f aca="false">SUM('Зп не связ. с оказ.услуги '!H31)</f>
        <v>9785.07209397937</v>
      </c>
      <c r="K9" s="133" t="n">
        <f aca="false">SUM('Прочие общехозяйственные нужды'!B7)</f>
        <v>0</v>
      </c>
      <c r="L9" s="134" t="n">
        <f aca="false">B9+C9+D9+E9+F9+G9+H9+I9+J9+K9</f>
        <v>29768.5008099126</v>
      </c>
      <c r="M9" s="135" t="n">
        <v>476</v>
      </c>
      <c r="N9" s="136" t="n">
        <f aca="false">SUM(L9*M9)</f>
        <v>14169806.3855184</v>
      </c>
      <c r="O9" s="137" t="n">
        <v>330</v>
      </c>
      <c r="P9" s="137" t="n">
        <f aca="false">SUM(B9+C9+D9+G9+H9+I9+J9+K9)*476+(E9+F9)*332</f>
        <v>13555127.4662457</v>
      </c>
    </row>
    <row r="10" customFormat="false" ht="105" hidden="false" customHeight="true" outlineLevel="0" collapsed="false">
      <c r="A10" s="109" t="s">
        <v>73</v>
      </c>
      <c r="B10" s="106" t="n">
        <f aca="false">'Заработная плата'!H15</f>
        <v>15485.1473130667</v>
      </c>
      <c r="C10" s="107" t="n">
        <f aca="false">SUM('Материальные затраты и ОЦДИ'!B7)</f>
        <v>0</v>
      </c>
      <c r="D10" s="107" t="n">
        <v>0</v>
      </c>
      <c r="E10" s="10" t="n">
        <f aca="false">'Оплата КУ'!N16</f>
        <v>3196.3027027027</v>
      </c>
      <c r="F10" s="10" t="n">
        <f aca="false">'Содержание объектов недв.имущ.'!H35</f>
        <v>1154.70637837838</v>
      </c>
      <c r="G10" s="107" t="n">
        <f aca="false">SUM('Содержание объектов,связь, тран'!I5)</f>
        <v>22.2</v>
      </c>
      <c r="H10" s="107" t="n">
        <f aca="false">SUM('Содержание объектов,связь, тран'!I13)</f>
        <v>157.999123820144</v>
      </c>
      <c r="I10" s="107" t="n">
        <f aca="false">SUM('Содержание объектов,связь, тран'!I20)</f>
        <v>49.478672985782</v>
      </c>
      <c r="J10" s="107" t="n">
        <f aca="false">SUM('Зп не связ. с оказ.услуги '!H31)</f>
        <v>9785.07209397937</v>
      </c>
      <c r="K10" s="133" t="n">
        <f aca="false">SUM('Прочие общехозяйственные нужды'!B7)</f>
        <v>0</v>
      </c>
      <c r="L10" s="134" t="n">
        <f aca="false">B10+C10+D10+E10+F10+G10+H10+I10+J10+K10</f>
        <v>29850.906284933</v>
      </c>
      <c r="M10" s="135" t="n">
        <v>78</v>
      </c>
      <c r="N10" s="136" t="n">
        <f aca="false">SUM(L10*M10)</f>
        <v>2328370.69022478</v>
      </c>
      <c r="O10" s="137" t="n">
        <v>37</v>
      </c>
      <c r="P10" s="137" t="n">
        <f aca="false">SUM(B10+C10+D10+G10+H10+I10+J10+K10)*78+(E10+F10)*37</f>
        <v>2149979.31790045</v>
      </c>
    </row>
    <row r="11" customFormat="false" ht="99.75" hidden="false" customHeight="true" outlineLevel="0" collapsed="false">
      <c r="A11" s="109" t="s">
        <v>74</v>
      </c>
      <c r="B11" s="106" t="n">
        <f aca="false">'Заработная плата'!H15</f>
        <v>15485.1473130667</v>
      </c>
      <c r="C11" s="107" t="n">
        <f aca="false">SUM('Материальные затраты и ОЦДИ'!B7)</f>
        <v>0</v>
      </c>
      <c r="D11" s="107" t="n">
        <v>0</v>
      </c>
      <c r="E11" s="10" t="n">
        <f aca="false">'Оплата КУ'!N22</f>
        <v>3079.77083333333</v>
      </c>
      <c r="F11" s="10" t="n">
        <f aca="false">'Содержание объектов недв.имущ.'!H52</f>
        <v>1112.60770833333</v>
      </c>
      <c r="G11" s="107" t="n">
        <f aca="false">SUM('Содержание объектов,связь, тран'!I5)</f>
        <v>22.2</v>
      </c>
      <c r="H11" s="107" t="n">
        <f aca="false">SUM('Содержание объектов,связь, тран'!I13)</f>
        <v>157.999123820144</v>
      </c>
      <c r="I11" s="107" t="n">
        <f aca="false">SUM('Содержание объектов,связь, тран'!I20)</f>
        <v>49.478672985782</v>
      </c>
      <c r="J11" s="107" t="n">
        <f aca="false">SUM('Зп не связ. с оказ.услуги '!H31)</f>
        <v>9785.07209397937</v>
      </c>
      <c r="K11" s="133" t="n">
        <f aca="false">SUM('Прочие общехозяйственные нужды'!B7)</f>
        <v>0</v>
      </c>
      <c r="L11" s="134" t="n">
        <f aca="false">B11+C11+D11+E11+F11+G11+H11+I11+J11+K11</f>
        <v>29692.2757455186</v>
      </c>
      <c r="M11" s="135" t="n">
        <v>56</v>
      </c>
      <c r="N11" s="136" t="n">
        <f aca="false">SUM(L11*M11)</f>
        <v>1662767.44174904</v>
      </c>
      <c r="O11" s="137" t="n">
        <v>24</v>
      </c>
      <c r="P11" s="137" t="n">
        <f aca="false">SUM(B11+C11+D11+G11+H11+I11+J11+K11)*56+(E11+F11)*44</f>
        <v>1612458.89924904</v>
      </c>
    </row>
    <row r="12" customFormat="false" ht="47.25" hidden="false" customHeight="false" outlineLevel="0" collapsed="false">
      <c r="A12" s="109" t="s">
        <v>75</v>
      </c>
      <c r="B12" s="106" t="n">
        <f aca="false">'Заработная плата'!H15</f>
        <v>15485.1473130667</v>
      </c>
      <c r="C12" s="107" t="n">
        <f aca="false">SUM('Материальные затраты и ОЦДИ'!B7)</f>
        <v>0</v>
      </c>
      <c r="D12" s="107" t="n">
        <v>0</v>
      </c>
      <c r="E12" s="10" t="n">
        <f aca="false">'Оплата КУ'!N28</f>
        <v>3112.18947368421</v>
      </c>
      <c r="F12" s="10" t="n">
        <f aca="false">SUM('Содержание объектов недв.имущ.'!H69)</f>
        <v>1124.31936842105</v>
      </c>
      <c r="G12" s="107" t="n">
        <f aca="false">SUM('Содержание объектов,связь, тран'!I5)</f>
        <v>22.2</v>
      </c>
      <c r="H12" s="107" t="n">
        <f aca="false">SUM('Содержание объектов,связь, тран'!I13)</f>
        <v>157.999123820144</v>
      </c>
      <c r="I12" s="107" t="n">
        <f aca="false">SUM('Содержание объектов,связь, тран'!I20)</f>
        <v>49.478672985782</v>
      </c>
      <c r="J12" s="107" t="n">
        <f aca="false">SUM('Зп не связ. с оказ.услуги '!H31)</f>
        <v>9785.07209397937</v>
      </c>
      <c r="K12" s="133" t="n">
        <f aca="false">SUM('Прочие общехозяйственные нужды'!B7)</f>
        <v>0</v>
      </c>
      <c r="L12" s="134" t="n">
        <f aca="false">B12+C12+D12+E12+F12+G12+H12+I12+J12+K12</f>
        <v>29736.4060459572</v>
      </c>
      <c r="M12" s="135" t="n">
        <v>32</v>
      </c>
      <c r="N12" s="136" t="n">
        <f aca="false">SUM(L12*M12)</f>
        <v>951564.993470631</v>
      </c>
      <c r="O12" s="137" t="n">
        <v>57</v>
      </c>
      <c r="P12" s="137" t="n">
        <f aca="false">SUM(B12+C12+D12+G12+H12+I12+J12+K12)*32+(E12+F12)*22</f>
        <v>909199.905049579</v>
      </c>
    </row>
    <row r="13" customFormat="false" ht="48" hidden="false" customHeight="false" outlineLevel="0" collapsed="false">
      <c r="A13" s="110" t="s">
        <v>163</v>
      </c>
      <c r="B13" s="111" t="n">
        <f aca="false">'Заработная плата'!H15</f>
        <v>15485.1473130667</v>
      </c>
      <c r="C13" s="112" t="n">
        <f aca="false">SUM('Материальные затраты и ОЦДИ'!B7)</f>
        <v>0</v>
      </c>
      <c r="D13" s="112" t="n">
        <v>0</v>
      </c>
      <c r="E13" s="113" t="n">
        <f aca="false">'Оплата КУ'!N34</f>
        <v>3135.80166666667</v>
      </c>
      <c r="F13" s="113" t="n">
        <f aca="false">SUM('Содержание объектов недв.имущ.'!H86)</f>
        <v>661.389696969697</v>
      </c>
      <c r="G13" s="112" t="n">
        <f aca="false">SUM('Содержание объектов,связь, тран'!I5)</f>
        <v>22.2</v>
      </c>
      <c r="H13" s="112" t="n">
        <f aca="false">SUM('Содержание объектов,связь, тран'!I13)</f>
        <v>157.999123820144</v>
      </c>
      <c r="I13" s="112" t="n">
        <f aca="false">SUM('Содержание объектов,связь, тран'!I20)</f>
        <v>49.478672985782</v>
      </c>
      <c r="J13" s="112" t="n">
        <f aca="false">SUM('Зп не связ. с оказ.услуги '!H31)</f>
        <v>9785.07209397937</v>
      </c>
      <c r="K13" s="138" t="n">
        <f aca="false">SUM('Прочие общехозяйственные нужды'!B7)</f>
        <v>0</v>
      </c>
      <c r="L13" s="139" t="n">
        <f aca="false">B13+C13+D13+E13+F13+G13+H13+I13+J13+K13</f>
        <v>29297.0885674883</v>
      </c>
      <c r="M13" s="140" t="n">
        <v>33</v>
      </c>
      <c r="N13" s="141" t="n">
        <f aca="false">SUM(L13*M13)</f>
        <v>966803.922727115</v>
      </c>
      <c r="O13" s="142" t="n">
        <v>33</v>
      </c>
      <c r="P13" s="142" t="n">
        <f aca="false">SUM(B13+C13+D13+G13+H13+I13+J13+K13)*33+(E13+F13)*33</f>
        <v>966803.922727115</v>
      </c>
    </row>
    <row r="14" s="50" customFormat="true" ht="15" hidden="false" customHeight="false" outlineLevel="0" collapsed="false">
      <c r="L14" s="90"/>
      <c r="M14" s="143" t="n">
        <f aca="false">SUM(M9:M13)</f>
        <v>675</v>
      </c>
      <c r="N14" s="143" t="n">
        <f aca="false">SUM(N9:N13)</f>
        <v>20079313.4336899</v>
      </c>
      <c r="O14" s="143" t="n">
        <f aca="false">SUM(O9:O13)</f>
        <v>481</v>
      </c>
      <c r="P14" s="143" t="n">
        <f aca="false">SUM(P9:P13)</f>
        <v>19193569.5111718</v>
      </c>
    </row>
    <row r="15" customFormat="false" ht="15.75" hidden="false" customHeight="false" outlineLevel="0" collapsed="false">
      <c r="A15" s="63"/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6"/>
      <c r="M15" s="147"/>
      <c r="N15" s="147"/>
      <c r="O15" s="147"/>
      <c r="P15" s="147" t="n">
        <f aca="false">SUM(P14/N14)</f>
        <v>0.955887738619989</v>
      </c>
    </row>
    <row r="16" customFormat="false" ht="15.75" hidden="true" customHeight="false" outlineLevel="0" collapsed="false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 t="n">
        <f aca="false">SUM(P14*P15)</f>
        <v>18346897.7560796</v>
      </c>
    </row>
    <row r="17" customFormat="false" ht="15" hidden="false" customHeight="true" outlineLevel="0" collapsed="false">
      <c r="A17" s="63" t="s">
        <v>173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customFormat="false" ht="15.75" hidden="false" customHeight="false" outlineLevel="0" collapsed="false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 t="n">
        <v>0.96</v>
      </c>
    </row>
    <row r="19" customFormat="false" ht="15" hidden="false" customHeight="false" outlineLevel="0" collapsed="false">
      <c r="A19" s="145" t="s">
        <v>174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 t="n">
        <v>0.92</v>
      </c>
    </row>
    <row r="20" customFormat="false" ht="15.75" hidden="true" customHeight="false" outlineLevel="0" collapsed="false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 t="n">
        <f aca="false">SUM(P19*P16)</f>
        <v>16879145.9355933</v>
      </c>
    </row>
    <row r="21" customFormat="false" ht="43.5" hidden="false" customHeight="true" outlineLevel="0" collapsed="false"/>
  </sheetData>
  <mergeCells count="13">
    <mergeCell ref="C2:N2"/>
    <mergeCell ref="N3:P3"/>
    <mergeCell ref="C4:F4"/>
    <mergeCell ref="N4:P4"/>
    <mergeCell ref="A6:A7"/>
    <mergeCell ref="B6:D6"/>
    <mergeCell ref="E6:K6"/>
    <mergeCell ref="L6:L7"/>
    <mergeCell ref="M6:M7"/>
    <mergeCell ref="N6:N7"/>
    <mergeCell ref="O6:O7"/>
    <mergeCell ref="P6:P7"/>
    <mergeCell ref="A17:P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33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F26" activeCellId="0" sqref="F26"/>
    </sheetView>
  </sheetViews>
  <sheetFormatPr defaultRowHeight="15" zeroHeight="false" outlineLevelRow="0" outlineLevelCol="0"/>
  <cols>
    <col collapsed="false" customWidth="true" hidden="false" outlineLevel="0" max="1" min="1" style="0" width="46.42"/>
    <col collapsed="false" customWidth="true" hidden="false" outlineLevel="0" max="3" min="2" style="0" width="8.67"/>
    <col collapsed="false" customWidth="true" hidden="false" outlineLevel="0" max="4" min="4" style="0" width="9.29"/>
    <col collapsed="false" customWidth="true" hidden="false" outlineLevel="0" max="5" min="5" style="0" width="42.57"/>
    <col collapsed="false" customWidth="true" hidden="false" outlineLevel="0" max="6" min="6" style="0" width="21.29"/>
    <col collapsed="false" customWidth="true" hidden="false" outlineLevel="0" max="1025" min="7" style="0" width="8.67"/>
  </cols>
  <sheetData>
    <row r="1" customFormat="false" ht="18.75" hidden="false" customHeight="true" outlineLevel="0" collapsed="false">
      <c r="A1" s="11" t="s">
        <v>13</v>
      </c>
      <c r="B1" s="11"/>
      <c r="C1" s="11"/>
      <c r="D1" s="11"/>
      <c r="E1" s="11"/>
      <c r="F1" s="11"/>
      <c r="G1" s="12"/>
      <c r="H1" s="12"/>
    </row>
    <row r="2" customFormat="false" ht="18.75" hidden="false" customHeight="true" outlineLevel="0" collapsed="false">
      <c r="A2" s="11" t="s">
        <v>14</v>
      </c>
      <c r="B2" s="13"/>
      <c r="C2" s="13"/>
      <c r="D2" s="13"/>
      <c r="E2" s="13"/>
      <c r="F2" s="13"/>
      <c r="G2" s="12"/>
      <c r="H2" s="12"/>
    </row>
    <row r="3" customFormat="false" ht="35.25" hidden="false" customHeight="true" outlineLevel="0" collapsed="false">
      <c r="A3" s="14" t="s">
        <v>15</v>
      </c>
      <c r="B3" s="14"/>
      <c r="C3" s="14"/>
      <c r="D3" s="14"/>
      <c r="E3" s="14"/>
      <c r="F3" s="14"/>
      <c r="G3" s="12"/>
      <c r="H3" s="12"/>
    </row>
    <row r="4" customFormat="false" ht="39" hidden="false" customHeight="true" outlineLevel="0" collapsed="false">
      <c r="A4" s="14" t="s">
        <v>16</v>
      </c>
      <c r="B4" s="14"/>
      <c r="C4" s="14"/>
      <c r="D4" s="14"/>
      <c r="E4" s="14"/>
      <c r="F4" s="14"/>
      <c r="G4" s="12"/>
      <c r="H4" s="12"/>
    </row>
    <row r="5" customFormat="false" ht="34.5" hidden="false" customHeight="true" outlineLevel="0" collapsed="false">
      <c r="A5" s="14" t="s">
        <v>17</v>
      </c>
      <c r="B5" s="14"/>
      <c r="C5" s="14"/>
      <c r="D5" s="14"/>
      <c r="E5" s="14"/>
      <c r="F5" s="14"/>
      <c r="G5" s="12"/>
      <c r="H5" s="12"/>
    </row>
    <row r="6" customFormat="false" ht="32.25" hidden="false" customHeight="true" outlineLevel="0" collapsed="false">
      <c r="A6" s="14" t="s">
        <v>18</v>
      </c>
      <c r="B6" s="14"/>
      <c r="C6" s="14"/>
      <c r="D6" s="14"/>
      <c r="E6" s="14"/>
      <c r="F6" s="14"/>
      <c r="G6" s="12"/>
      <c r="H6" s="12"/>
    </row>
    <row r="7" customFormat="false" ht="32.25" hidden="false" customHeight="true" outlineLevel="0" collapsed="false">
      <c r="A7" s="14" t="s">
        <v>19</v>
      </c>
      <c r="B7" s="14"/>
      <c r="C7" s="14"/>
      <c r="D7" s="14"/>
      <c r="E7" s="14"/>
      <c r="F7" s="14"/>
      <c r="G7" s="12"/>
      <c r="H7" s="12"/>
    </row>
    <row r="8" customFormat="false" ht="32.25" hidden="false" customHeight="true" outlineLevel="0" collapsed="false">
      <c r="A8" s="14" t="s">
        <v>20</v>
      </c>
      <c r="B8" s="14"/>
      <c r="C8" s="14"/>
      <c r="D8" s="14"/>
      <c r="E8" s="14"/>
      <c r="F8" s="14"/>
      <c r="G8" s="12"/>
      <c r="H8" s="12"/>
    </row>
    <row r="9" customFormat="false" ht="21" hidden="false" customHeight="true" outlineLevel="0" collapsed="false">
      <c r="A9" s="11" t="s">
        <v>21</v>
      </c>
      <c r="B9" s="13"/>
      <c r="C9" s="13"/>
      <c r="D9" s="13"/>
      <c r="E9" s="13"/>
      <c r="F9" s="13"/>
      <c r="G9" s="12"/>
      <c r="H9" s="12"/>
    </row>
    <row r="10" customFormat="false" ht="18.75" hidden="false" customHeight="true" outlineLevel="0" collapsed="false">
      <c r="A10" s="11" t="s">
        <v>22</v>
      </c>
      <c r="B10" s="13"/>
      <c r="C10" s="13"/>
      <c r="D10" s="13"/>
      <c r="E10" s="13"/>
      <c r="F10" s="13"/>
      <c r="G10" s="12"/>
      <c r="H10" s="12"/>
    </row>
    <row r="11" customFormat="false" ht="18.75" hidden="false" customHeight="true" outlineLevel="0" collapsed="false">
      <c r="A11" s="13"/>
      <c r="B11" s="13"/>
      <c r="C11" s="13"/>
      <c r="D11" s="13"/>
      <c r="E11" s="13"/>
      <c r="F11" s="13"/>
      <c r="G11" s="12"/>
      <c r="H11" s="12"/>
    </row>
    <row r="12" customFormat="false" ht="70.5" hidden="false" customHeight="true" outlineLevel="0" collapsed="false">
      <c r="A12" s="15" t="s">
        <v>23</v>
      </c>
      <c r="B12" s="16" t="s">
        <v>24</v>
      </c>
      <c r="C12" s="16" t="s">
        <v>25</v>
      </c>
      <c r="D12" s="16" t="s">
        <v>26</v>
      </c>
      <c r="E12" s="16" t="s">
        <v>23</v>
      </c>
      <c r="F12" s="17" t="s">
        <v>24</v>
      </c>
      <c r="G12" s="18"/>
      <c r="H12" s="12"/>
    </row>
    <row r="13" customFormat="false" ht="30" hidden="false" customHeight="true" outlineLevel="0" collapsed="false">
      <c r="A13" s="19" t="s">
        <v>27</v>
      </c>
      <c r="B13" s="7" t="n">
        <v>1</v>
      </c>
      <c r="C13" s="7" t="n">
        <v>31918</v>
      </c>
      <c r="D13" s="7" t="n">
        <v>36</v>
      </c>
      <c r="E13" s="7" t="s">
        <v>28</v>
      </c>
      <c r="F13" s="20" t="n">
        <v>1</v>
      </c>
      <c r="G13" s="12"/>
    </row>
    <row r="14" customFormat="false" ht="30" hidden="false" customHeight="true" outlineLevel="0" collapsed="false">
      <c r="A14" s="19" t="s">
        <v>29</v>
      </c>
      <c r="B14" s="7" t="n">
        <v>1</v>
      </c>
      <c r="C14" s="7" t="n">
        <v>31918</v>
      </c>
      <c r="D14" s="7" t="n">
        <v>36</v>
      </c>
      <c r="E14" s="7" t="s">
        <v>30</v>
      </c>
      <c r="F14" s="20" t="n">
        <v>1</v>
      </c>
      <c r="G14" s="12"/>
    </row>
    <row r="15" customFormat="false" ht="30" hidden="false" customHeight="true" outlineLevel="0" collapsed="false">
      <c r="A15" s="19" t="s">
        <v>31</v>
      </c>
      <c r="B15" s="7" t="n">
        <v>3</v>
      </c>
      <c r="C15" s="7" t="n">
        <v>95754</v>
      </c>
      <c r="D15" s="7" t="n">
        <v>36</v>
      </c>
      <c r="E15" s="7" t="s">
        <v>32</v>
      </c>
      <c r="F15" s="20" t="n">
        <v>1</v>
      </c>
    </row>
    <row r="16" customFormat="false" ht="30" hidden="false" customHeight="true" outlineLevel="0" collapsed="false">
      <c r="A16" s="19" t="s">
        <v>33</v>
      </c>
      <c r="B16" s="7" t="n">
        <v>3</v>
      </c>
      <c r="C16" s="7" t="n">
        <v>95754</v>
      </c>
      <c r="D16" s="7" t="n">
        <v>36</v>
      </c>
      <c r="E16" s="7" t="s">
        <v>34</v>
      </c>
      <c r="F16" s="20" t="n">
        <v>1</v>
      </c>
    </row>
    <row r="17" customFormat="false" ht="30" hidden="false" customHeight="true" outlineLevel="0" collapsed="false">
      <c r="A17" s="19" t="s">
        <v>35</v>
      </c>
      <c r="B17" s="7" t="n">
        <v>1.5</v>
      </c>
      <c r="C17" s="7" t="n">
        <v>47877</v>
      </c>
      <c r="D17" s="7" t="n">
        <v>24</v>
      </c>
      <c r="E17" s="7" t="s">
        <v>36</v>
      </c>
      <c r="F17" s="20" t="n">
        <v>0.5</v>
      </c>
    </row>
    <row r="18" customFormat="false" ht="30" hidden="false" customHeight="true" outlineLevel="0" collapsed="false">
      <c r="A18" s="21" t="s">
        <v>37</v>
      </c>
      <c r="B18" s="7" t="n">
        <v>16</v>
      </c>
      <c r="C18" s="7" t="n">
        <v>381328.14</v>
      </c>
      <c r="D18" s="7" t="n">
        <v>18</v>
      </c>
      <c r="E18" s="7" t="s">
        <v>38</v>
      </c>
      <c r="F18" s="20" t="n">
        <v>1</v>
      </c>
    </row>
    <row r="19" customFormat="false" ht="30" hidden="false" customHeight="true" outlineLevel="0" collapsed="false">
      <c r="A19" s="19"/>
      <c r="B19" s="7"/>
      <c r="C19" s="7"/>
      <c r="D19" s="7"/>
      <c r="E19" s="7" t="s">
        <v>39</v>
      </c>
      <c r="F19" s="20" t="n">
        <v>1</v>
      </c>
    </row>
    <row r="20" customFormat="false" ht="30" hidden="false" customHeight="true" outlineLevel="0" collapsed="false">
      <c r="A20" s="19"/>
      <c r="B20" s="7"/>
      <c r="C20" s="7"/>
      <c r="D20" s="7"/>
      <c r="E20" s="4" t="s">
        <v>40</v>
      </c>
      <c r="F20" s="20" t="n">
        <v>1</v>
      </c>
    </row>
    <row r="21" customFormat="false" ht="30" hidden="false" customHeight="true" outlineLevel="0" collapsed="false">
      <c r="A21" s="19"/>
      <c r="B21" s="7"/>
      <c r="C21" s="7"/>
      <c r="D21" s="7"/>
      <c r="E21" s="7" t="s">
        <v>41</v>
      </c>
      <c r="F21" s="20" t="n">
        <v>1</v>
      </c>
    </row>
    <row r="22" customFormat="false" ht="30" hidden="false" customHeight="true" outlineLevel="0" collapsed="false">
      <c r="A22" s="19"/>
      <c r="B22" s="7"/>
      <c r="C22" s="7"/>
      <c r="D22" s="7"/>
      <c r="E22" s="7" t="s">
        <v>42</v>
      </c>
      <c r="F22" s="20" t="n">
        <v>0.5</v>
      </c>
    </row>
    <row r="23" customFormat="false" ht="30" hidden="false" customHeight="true" outlineLevel="0" collapsed="false">
      <c r="A23" s="19"/>
      <c r="B23" s="7"/>
      <c r="C23" s="7"/>
      <c r="D23" s="7"/>
      <c r="E23" s="4" t="s">
        <v>43</v>
      </c>
      <c r="F23" s="20" t="n">
        <v>2</v>
      </c>
    </row>
    <row r="24" customFormat="false" ht="30" hidden="false" customHeight="true" outlineLevel="0" collapsed="false">
      <c r="A24" s="19"/>
      <c r="B24" s="7"/>
      <c r="C24" s="7"/>
      <c r="D24" s="7"/>
      <c r="E24" s="4" t="s">
        <v>44</v>
      </c>
      <c r="F24" s="20" t="n">
        <v>2</v>
      </c>
    </row>
    <row r="25" customFormat="false" ht="30" hidden="false" customHeight="true" outlineLevel="0" collapsed="false">
      <c r="A25" s="19"/>
      <c r="B25" s="7"/>
      <c r="C25" s="7"/>
      <c r="D25" s="7"/>
      <c r="E25" s="4" t="s">
        <v>45</v>
      </c>
      <c r="F25" s="20" t="n">
        <v>1.75</v>
      </c>
    </row>
    <row r="26" customFormat="false" ht="30" hidden="false" customHeight="true" outlineLevel="0" collapsed="false">
      <c r="A26" s="19"/>
      <c r="B26" s="7"/>
      <c r="C26" s="7"/>
      <c r="D26" s="7"/>
      <c r="E26" s="4" t="s">
        <v>46</v>
      </c>
      <c r="F26" s="20" t="n">
        <v>3</v>
      </c>
    </row>
    <row r="27" customFormat="false" ht="30" hidden="false" customHeight="true" outlineLevel="0" collapsed="false">
      <c r="A27" s="19"/>
      <c r="B27" s="7"/>
      <c r="C27" s="7"/>
      <c r="D27" s="7"/>
      <c r="E27" s="4" t="s">
        <v>47</v>
      </c>
      <c r="F27" s="20" t="n">
        <v>3</v>
      </c>
    </row>
    <row r="28" customFormat="false" ht="30" hidden="false" customHeight="true" outlineLevel="0" collapsed="false">
      <c r="A28" s="19"/>
      <c r="B28" s="7"/>
      <c r="C28" s="7"/>
      <c r="D28" s="7"/>
      <c r="E28" s="4" t="s">
        <v>48</v>
      </c>
      <c r="F28" s="20" t="n">
        <v>1</v>
      </c>
    </row>
    <row r="29" customFormat="false" ht="30" hidden="false" customHeight="true" outlineLevel="0" collapsed="false">
      <c r="A29" s="19"/>
      <c r="B29" s="7"/>
      <c r="C29" s="7"/>
      <c r="D29" s="7"/>
      <c r="E29" s="4" t="s">
        <v>49</v>
      </c>
      <c r="F29" s="20" t="n">
        <v>0.5</v>
      </c>
    </row>
    <row r="30" customFormat="false" ht="30" hidden="false" customHeight="true" outlineLevel="0" collapsed="false">
      <c r="A30" s="19"/>
      <c r="B30" s="7"/>
      <c r="C30" s="7"/>
      <c r="D30" s="7"/>
      <c r="E30" s="4" t="s">
        <v>50</v>
      </c>
      <c r="F30" s="20" t="n">
        <v>1</v>
      </c>
    </row>
    <row r="31" customFormat="false" ht="30" hidden="false" customHeight="true" outlineLevel="0" collapsed="false">
      <c r="A31" s="19"/>
      <c r="B31" s="7"/>
      <c r="C31" s="7"/>
      <c r="D31" s="7"/>
      <c r="E31" s="4" t="s">
        <v>51</v>
      </c>
      <c r="F31" s="20" t="n">
        <v>0.5</v>
      </c>
    </row>
    <row r="32" customFormat="false" ht="30" hidden="false" customHeight="true" outlineLevel="0" collapsed="false">
      <c r="A32" s="22"/>
      <c r="B32" s="23" t="n">
        <f aca="false">SUM(B13:B31)</f>
        <v>25.5</v>
      </c>
      <c r="C32" s="23" t="n">
        <f aca="false">SUM(C13:C31)</f>
        <v>684549.14</v>
      </c>
      <c r="D32" s="23"/>
      <c r="E32" s="24"/>
      <c r="F32" s="25" t="n">
        <f aca="false">SUM(F13:F31)</f>
        <v>23.75</v>
      </c>
    </row>
    <row r="33" customFormat="false" ht="30" hidden="false" customHeight="true" outlineLevel="0" collapsed="false">
      <c r="A33" s="0" t="s">
        <v>52</v>
      </c>
      <c r="C33" s="0" t="n">
        <v>266798.26</v>
      </c>
    </row>
  </sheetData>
  <mergeCells count="7">
    <mergeCell ref="A1:F1"/>
    <mergeCell ref="A3:F3"/>
    <mergeCell ref="A4:F4"/>
    <mergeCell ref="A5:F5"/>
    <mergeCell ref="A6:F6"/>
    <mergeCell ref="A7:F7"/>
    <mergeCell ref="A8:F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5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M40" activeCellId="0" sqref="M40"/>
    </sheetView>
  </sheetViews>
  <sheetFormatPr defaultRowHeight="15" zeroHeight="false" outlineLevelRow="0" outlineLevelCol="0"/>
  <cols>
    <col collapsed="false" customWidth="true" hidden="false" outlineLevel="0" max="1" min="1" style="26" width="18.85"/>
    <col collapsed="false" customWidth="true" hidden="false" outlineLevel="0" max="3" min="2" style="26" width="11.14"/>
    <col collapsed="false" customWidth="true" hidden="false" outlineLevel="0" max="4" min="4" style="26" width="13.29"/>
    <col collapsed="false" customWidth="true" hidden="false" outlineLevel="0" max="5" min="5" style="26" width="10.99"/>
    <col collapsed="false" customWidth="false" hidden="true" outlineLevel="0" max="7" min="6" style="26" width="11.52"/>
    <col collapsed="false" customWidth="true" hidden="true" outlineLevel="0" max="8" min="8" style="26" width="10.71"/>
    <col collapsed="false" customWidth="false" hidden="true" outlineLevel="0" max="9" min="9" style="26" width="11.52"/>
    <col collapsed="false" customWidth="true" hidden="false" outlineLevel="0" max="10" min="10" style="26" width="13.57"/>
    <col collapsed="false" customWidth="true" hidden="false" outlineLevel="0" max="11" min="11" style="26" width="13.86"/>
    <col collapsed="false" customWidth="true" hidden="false" outlineLevel="0" max="12" min="12" style="26" width="12.29"/>
    <col collapsed="false" customWidth="true" hidden="false" outlineLevel="0" max="14" min="13" style="26" width="9.29"/>
    <col collapsed="false" customWidth="true" hidden="false" outlineLevel="0" max="15" min="15" style="26" width="9.85"/>
    <col collapsed="false" customWidth="true" hidden="false" outlineLevel="0" max="1025" min="16" style="26" width="9.13"/>
  </cols>
  <sheetData>
    <row r="1" customFormat="false" ht="15.75" hidden="false" customHeight="true" outlineLevel="0" collapsed="false">
      <c r="A1" s="2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5.75" hidden="false" customHeight="true" outlineLevel="0" collapsed="false">
      <c r="A2" s="14" t="s">
        <v>54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customFormat="false" ht="15.75" hidden="false" customHeight="false" outlineLevel="0" collapsed="false">
      <c r="A3" s="27"/>
      <c r="B3" s="28"/>
      <c r="C3" s="28"/>
      <c r="D3" s="28"/>
      <c r="E3" s="28"/>
      <c r="F3" s="28"/>
      <c r="G3" s="28"/>
      <c r="H3" s="28"/>
      <c r="I3" s="27"/>
      <c r="J3" s="27"/>
      <c r="K3" s="27"/>
      <c r="L3" s="27"/>
      <c r="M3" s="27"/>
      <c r="N3" s="27"/>
    </row>
    <row r="4" customFormat="false" ht="141.75" hidden="false" customHeight="false" outlineLevel="0" collapsed="false">
      <c r="A4" s="29" t="s">
        <v>55</v>
      </c>
      <c r="B4" s="29" t="s">
        <v>56</v>
      </c>
      <c r="C4" s="29" t="s">
        <v>57</v>
      </c>
      <c r="D4" s="29" t="s">
        <v>58</v>
      </c>
      <c r="E4" s="29" t="s">
        <v>59</v>
      </c>
      <c r="F4" s="29" t="s">
        <v>60</v>
      </c>
      <c r="G4" s="29" t="s">
        <v>61</v>
      </c>
      <c r="H4" s="29" t="s">
        <v>62</v>
      </c>
      <c r="I4" s="27"/>
      <c r="J4" s="29" t="s">
        <v>63</v>
      </c>
      <c r="K4" s="29" t="s">
        <v>64</v>
      </c>
      <c r="L4" s="29" t="s">
        <v>60</v>
      </c>
      <c r="M4" s="29" t="s">
        <v>61</v>
      </c>
      <c r="N4" s="29" t="s">
        <v>62</v>
      </c>
    </row>
    <row r="5" customFormat="false" ht="29.25" hidden="false" customHeight="true" outlineLevel="0" collapsed="false">
      <c r="A5" s="30" t="s">
        <v>65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customFormat="false" ht="15.75" hidden="false" customHeight="false" outlineLevel="0" collapsed="false">
      <c r="A6" s="31" t="s">
        <v>66</v>
      </c>
      <c r="B6" s="31" t="s">
        <v>67</v>
      </c>
      <c r="C6" s="31" t="n">
        <v>47000</v>
      </c>
      <c r="D6" s="31" t="n">
        <v>0.7</v>
      </c>
      <c r="E6" s="31" t="n">
        <f aca="false">SUM(C6*D6)</f>
        <v>32900</v>
      </c>
      <c r="F6" s="31" t="n">
        <f aca="false">SUM(E6/315)</f>
        <v>104.444444444444</v>
      </c>
      <c r="G6" s="31" t="n">
        <v>9.21</v>
      </c>
      <c r="H6" s="32" t="n">
        <f aca="false">SUM(F6*G6)</f>
        <v>961.933333333333</v>
      </c>
      <c r="I6" s="33"/>
      <c r="J6" s="31" t="n">
        <v>38709.22</v>
      </c>
      <c r="K6" s="32" t="n">
        <f aca="false">SUM(J6/330)</f>
        <v>117.300666666667</v>
      </c>
      <c r="L6" s="31" t="n">
        <f aca="false">SUM(E6/J6*K6)</f>
        <v>99.6969696969697</v>
      </c>
      <c r="M6" s="31" t="n">
        <v>5.63</v>
      </c>
      <c r="N6" s="31" t="n">
        <f aca="false">SUM(L6*M6)</f>
        <v>561.29393939394</v>
      </c>
    </row>
    <row r="7" customFormat="false" ht="15.75" hidden="false" customHeight="false" outlineLevel="0" collapsed="false">
      <c r="A7" s="7" t="s">
        <v>68</v>
      </c>
      <c r="B7" s="7" t="s">
        <v>69</v>
      </c>
      <c r="C7" s="7" t="n">
        <v>360</v>
      </c>
      <c r="D7" s="31" t="n">
        <v>0.7</v>
      </c>
      <c r="E7" s="7" t="n">
        <f aca="false">SUM(C7*D7)</f>
        <v>252</v>
      </c>
      <c r="F7" s="7" t="n">
        <f aca="false">SUM(E7/315)</f>
        <v>0.8</v>
      </c>
      <c r="G7" s="7" t="n">
        <v>4379.98</v>
      </c>
      <c r="H7" s="10" t="n">
        <f aca="false">SUM(F7*G7)</f>
        <v>3503.984</v>
      </c>
      <c r="I7" s="33"/>
      <c r="J7" s="31" t="n">
        <v>38709.22</v>
      </c>
      <c r="K7" s="32" t="n">
        <f aca="false">SUM(J7/330)</f>
        <v>117.300666666667</v>
      </c>
      <c r="L7" s="7" t="n">
        <f aca="false">SUM(E7/J7*K7)</f>
        <v>0.763636363636364</v>
      </c>
      <c r="M7" s="7" t="n">
        <v>3200.65</v>
      </c>
      <c r="N7" s="7" t="n">
        <f aca="false">SUM(L7*M7)</f>
        <v>2444.13272727273</v>
      </c>
    </row>
    <row r="8" customFormat="false" ht="31.5" hidden="false" customHeight="false" outlineLevel="0" collapsed="false">
      <c r="A8" s="4" t="s">
        <v>70</v>
      </c>
      <c r="B8" s="7" t="s">
        <v>71</v>
      </c>
      <c r="C8" s="7" t="n">
        <v>550</v>
      </c>
      <c r="D8" s="31" t="n">
        <v>0.7</v>
      </c>
      <c r="E8" s="7" t="n">
        <f aca="false">SUM(C8*D8)</f>
        <v>385</v>
      </c>
      <c r="F8" s="7" t="n">
        <f aca="false">SUM(E8/315)</f>
        <v>1.22222222222222</v>
      </c>
      <c r="G8" s="7" t="n">
        <v>25.89</v>
      </c>
      <c r="H8" s="10" t="n">
        <f aca="false">SUM(F8*G8)</f>
        <v>31.6433333333333</v>
      </c>
      <c r="I8" s="33"/>
      <c r="J8" s="31" t="n">
        <v>38709.22</v>
      </c>
      <c r="K8" s="32" t="n">
        <f aca="false">SUM(J8/330)</f>
        <v>117.300666666667</v>
      </c>
      <c r="L8" s="7" t="n">
        <f aca="false">SUM(E8/J8*K8)</f>
        <v>1.16666666666667</v>
      </c>
      <c r="M8" s="7" t="n">
        <v>31.72</v>
      </c>
      <c r="N8" s="7" t="n">
        <f aca="false">SUM(L8*M8)</f>
        <v>37.0066666666667</v>
      </c>
    </row>
    <row r="9" customFormat="false" ht="15.75" hidden="false" customHeight="false" outlineLevel="0" collapsed="false">
      <c r="A9" s="7" t="s">
        <v>72</v>
      </c>
      <c r="B9" s="7" t="s">
        <v>71</v>
      </c>
      <c r="C9" s="7" t="n">
        <v>50</v>
      </c>
      <c r="D9" s="31" t="n">
        <v>0.7</v>
      </c>
      <c r="E9" s="7" t="n">
        <f aca="false">SUM(C9*D9)</f>
        <v>35</v>
      </c>
      <c r="F9" s="7" t="n">
        <f aca="false">SUM(E9/315)</f>
        <v>0.111111111111111</v>
      </c>
      <c r="G9" s="7" t="n">
        <v>710</v>
      </c>
      <c r="H9" s="10" t="n">
        <f aca="false">SUM(F9*G9)</f>
        <v>78.8888888888889</v>
      </c>
      <c r="I9" s="33"/>
      <c r="J9" s="31" t="n">
        <v>38709.22</v>
      </c>
      <c r="K9" s="32" t="n">
        <f aca="false">SUM(J9/330)</f>
        <v>117.300666666667</v>
      </c>
      <c r="L9" s="7" t="n">
        <f aca="false">SUM(E9/J9*K9)</f>
        <v>0.106060606060606</v>
      </c>
      <c r="M9" s="7" t="n">
        <v>880</v>
      </c>
      <c r="N9" s="7" t="n">
        <f aca="false">SUM(L9*M9)</f>
        <v>93.3333333333333</v>
      </c>
    </row>
    <row r="10" customFormat="false" ht="15.75" hidden="false" customHeight="false" outlineLevel="0" collapsed="false">
      <c r="A10" s="7"/>
      <c r="B10" s="7"/>
      <c r="C10" s="7"/>
      <c r="D10" s="7"/>
      <c r="E10" s="7"/>
      <c r="F10" s="7"/>
      <c r="G10" s="7"/>
      <c r="H10" s="10" t="n">
        <f aca="false">SUM(H6:H9)</f>
        <v>4576.44955555555</v>
      </c>
      <c r="I10" s="27" t="n">
        <f aca="false">SUM(H10*315)</f>
        <v>1441581.61</v>
      </c>
      <c r="J10" s="7"/>
      <c r="K10" s="7"/>
      <c r="L10" s="7"/>
      <c r="M10" s="7"/>
      <c r="N10" s="34" t="n">
        <f aca="false">SUM(N6:N9)</f>
        <v>3135.76666666667</v>
      </c>
      <c r="O10" s="26" t="n">
        <f aca="false">SUM(N10*315)</f>
        <v>987766.5</v>
      </c>
    </row>
    <row r="11" customFormat="false" ht="45.75" hidden="false" customHeight="true" outlineLevel="0" collapsed="false">
      <c r="A11" s="35" t="s">
        <v>73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customFormat="false" ht="15" hidden="false" customHeight="false" outlineLevel="0" collapsed="false">
      <c r="A12" s="7" t="s">
        <v>66</v>
      </c>
      <c r="B12" s="7" t="s">
        <v>67</v>
      </c>
      <c r="C12" s="7" t="n">
        <v>47000</v>
      </c>
      <c r="D12" s="7" t="n">
        <v>0.08</v>
      </c>
      <c r="E12" s="7" t="n">
        <f aca="false">SUM(C12*D12)</f>
        <v>3760</v>
      </c>
      <c r="F12" s="7" t="n">
        <f aca="false">SUM(E12/26)</f>
        <v>144.615384615385</v>
      </c>
      <c r="G12" s="7" t="n">
        <v>9.21</v>
      </c>
      <c r="H12" s="10" t="n">
        <f aca="false">SUM(F12*G12)</f>
        <v>1331.90769230769</v>
      </c>
      <c r="I12" s="36"/>
      <c r="J12" s="31" t="n">
        <v>38709.22</v>
      </c>
      <c r="K12" s="10" t="n">
        <f aca="false">SUM(J12/37)</f>
        <v>1046.19513513514</v>
      </c>
      <c r="L12" s="7" t="n">
        <f aca="false">SUM(E12/J12*K12)</f>
        <v>101.621621621622</v>
      </c>
      <c r="M12" s="31" t="n">
        <v>5.63</v>
      </c>
      <c r="N12" s="7" t="n">
        <f aca="false">SUM(L12*M12)</f>
        <v>572.12972972973</v>
      </c>
    </row>
    <row r="13" customFormat="false" ht="15.75" hidden="false" customHeight="false" outlineLevel="0" collapsed="false">
      <c r="A13" s="7" t="s">
        <v>68</v>
      </c>
      <c r="B13" s="7" t="s">
        <v>69</v>
      </c>
      <c r="C13" s="7" t="n">
        <v>360</v>
      </c>
      <c r="D13" s="7" t="n">
        <v>0.08</v>
      </c>
      <c r="E13" s="7" t="n">
        <f aca="false">SUM(C13*D13)</f>
        <v>28.8</v>
      </c>
      <c r="F13" s="7" t="n">
        <f aca="false">SUM(E13/26)</f>
        <v>1.10769230769231</v>
      </c>
      <c r="G13" s="7" t="n">
        <v>4379.98</v>
      </c>
      <c r="H13" s="10" t="n">
        <f aca="false">SUM(F13*G13)</f>
        <v>4851.67015384615</v>
      </c>
      <c r="I13" s="36"/>
      <c r="J13" s="31" t="n">
        <v>38709.22</v>
      </c>
      <c r="K13" s="10" t="n">
        <f aca="false">SUM(J13/37)</f>
        <v>1046.19513513514</v>
      </c>
      <c r="L13" s="7" t="n">
        <f aca="false">SUM(E13/J13*K13)</f>
        <v>0.778378378378378</v>
      </c>
      <c r="M13" s="7" t="n">
        <v>3200.65</v>
      </c>
      <c r="N13" s="7" t="n">
        <f aca="false">SUM(L13*M13)</f>
        <v>2491.31675675676</v>
      </c>
    </row>
    <row r="14" customFormat="false" ht="31.5" hidden="false" customHeight="false" outlineLevel="0" collapsed="false">
      <c r="A14" s="4" t="s">
        <v>70</v>
      </c>
      <c r="B14" s="7" t="s">
        <v>71</v>
      </c>
      <c r="C14" s="7" t="n">
        <v>550</v>
      </c>
      <c r="D14" s="7" t="n">
        <v>0.08</v>
      </c>
      <c r="E14" s="7" t="n">
        <f aca="false">SUM(C14*D14)</f>
        <v>44</v>
      </c>
      <c r="F14" s="7" t="n">
        <f aca="false">SUM(E14/26)</f>
        <v>1.69230769230769</v>
      </c>
      <c r="G14" s="7" t="n">
        <v>25.89</v>
      </c>
      <c r="H14" s="10" t="n">
        <f aca="false">SUM(F14*G14)</f>
        <v>43.8138461538462</v>
      </c>
      <c r="I14" s="36"/>
      <c r="J14" s="31" t="n">
        <v>38709.22</v>
      </c>
      <c r="K14" s="10" t="n">
        <f aca="false">SUM(J14/37)</f>
        <v>1046.19513513514</v>
      </c>
      <c r="L14" s="7" t="n">
        <f aca="false">SUM(E14/J14*K14)</f>
        <v>1.18918918918919</v>
      </c>
      <c r="M14" s="7" t="n">
        <v>31.72</v>
      </c>
      <c r="N14" s="7" t="n">
        <f aca="false">SUM(L14*M14)</f>
        <v>37.7210810810811</v>
      </c>
    </row>
    <row r="15" customFormat="false" ht="15.75" hidden="false" customHeight="false" outlineLevel="0" collapsed="false">
      <c r="A15" s="7" t="s">
        <v>72</v>
      </c>
      <c r="B15" s="7" t="s">
        <v>71</v>
      </c>
      <c r="C15" s="7" t="n">
        <v>50</v>
      </c>
      <c r="D15" s="7" t="n">
        <v>0.08</v>
      </c>
      <c r="E15" s="7" t="n">
        <f aca="false">SUM(C15*D15)</f>
        <v>4</v>
      </c>
      <c r="F15" s="7" t="n">
        <f aca="false">SUM(E15/26)</f>
        <v>0.153846153846154</v>
      </c>
      <c r="G15" s="7" t="n">
        <v>710</v>
      </c>
      <c r="H15" s="10" t="n">
        <f aca="false">SUM(F15*G15)</f>
        <v>109.230769230769</v>
      </c>
      <c r="I15" s="36"/>
      <c r="J15" s="31" t="n">
        <v>38709.22</v>
      </c>
      <c r="K15" s="10" t="n">
        <f aca="false">SUM(J15/37)</f>
        <v>1046.19513513514</v>
      </c>
      <c r="L15" s="7" t="n">
        <f aca="false">SUM(E15/J15*K15)</f>
        <v>0.108108108108108</v>
      </c>
      <c r="M15" s="7" t="n">
        <v>880</v>
      </c>
      <c r="N15" s="7" t="n">
        <f aca="false">SUM(L15*M15)</f>
        <v>95.1351351351351</v>
      </c>
    </row>
    <row r="16" customFormat="false" ht="15.75" hidden="false" customHeight="false" outlineLevel="0" collapsed="false">
      <c r="A16" s="7"/>
      <c r="B16" s="7"/>
      <c r="C16" s="7"/>
      <c r="D16" s="7"/>
      <c r="E16" s="7"/>
      <c r="F16" s="7"/>
      <c r="G16" s="7"/>
      <c r="H16" s="10" t="n">
        <f aca="false">SUM(H12:H15)</f>
        <v>6336.62246153846</v>
      </c>
      <c r="I16" s="36" t="n">
        <f aca="false">SUM(H16)*26</f>
        <v>164752.184</v>
      </c>
      <c r="J16" s="7"/>
      <c r="K16" s="7"/>
      <c r="L16" s="7"/>
      <c r="M16" s="7"/>
      <c r="N16" s="34" t="n">
        <f aca="false">SUM(N12:N15)</f>
        <v>3196.3027027027</v>
      </c>
      <c r="O16" s="26" t="n">
        <f aca="false">SUM(N16*26)</f>
        <v>83103.8702702703</v>
      </c>
    </row>
    <row r="17" customFormat="false" ht="30.75" hidden="false" customHeight="true" outlineLevel="0" collapsed="false">
      <c r="A17" s="35" t="s">
        <v>74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customFormat="false" ht="15" hidden="false" customHeight="false" outlineLevel="0" collapsed="false">
      <c r="A18" s="7" t="s">
        <v>66</v>
      </c>
      <c r="B18" s="7" t="s">
        <v>67</v>
      </c>
      <c r="C18" s="7" t="n">
        <v>47000</v>
      </c>
      <c r="D18" s="7" t="n">
        <v>0.05</v>
      </c>
      <c r="E18" s="7" t="n">
        <f aca="false">SUM(C18*D18)</f>
        <v>2350</v>
      </c>
      <c r="F18" s="7" t="n">
        <f aca="false">SUM(E18/42)</f>
        <v>55.952380952381</v>
      </c>
      <c r="G18" s="7" t="n">
        <v>9.21</v>
      </c>
      <c r="H18" s="10" t="n">
        <f aca="false">SUM(G18*F18)</f>
        <v>515.321428571429</v>
      </c>
      <c r="I18" s="27"/>
      <c r="J18" s="31" t="n">
        <v>38709.22</v>
      </c>
      <c r="K18" s="7" t="n">
        <f aca="false">SUM(J18/24)</f>
        <v>1612.88416666667</v>
      </c>
      <c r="L18" s="7" t="n">
        <f aca="false">SUM(E18/J18*K18)</f>
        <v>97.9166666666667</v>
      </c>
      <c r="M18" s="31" t="n">
        <v>5.63</v>
      </c>
      <c r="N18" s="7" t="n">
        <f aca="false">SUM(L18*M18)</f>
        <v>551.270833333333</v>
      </c>
    </row>
    <row r="19" customFormat="false" ht="15.75" hidden="false" customHeight="false" outlineLevel="0" collapsed="false">
      <c r="A19" s="7" t="s">
        <v>68</v>
      </c>
      <c r="B19" s="7" t="s">
        <v>69</v>
      </c>
      <c r="C19" s="7" t="n">
        <v>360</v>
      </c>
      <c r="D19" s="7" t="n">
        <v>0.05</v>
      </c>
      <c r="E19" s="7" t="n">
        <f aca="false">SUM(C19*D19)</f>
        <v>18</v>
      </c>
      <c r="F19" s="7" t="n">
        <f aca="false">SUM(E19/42)</f>
        <v>0.428571428571429</v>
      </c>
      <c r="G19" s="7" t="n">
        <v>4379.98</v>
      </c>
      <c r="H19" s="10" t="n">
        <f aca="false">SUM(G19*F19)</f>
        <v>1877.13428571429</v>
      </c>
      <c r="I19" s="27"/>
      <c r="J19" s="31" t="n">
        <v>38709.22</v>
      </c>
      <c r="K19" s="7" t="n">
        <f aca="false">SUM(J19/24)</f>
        <v>1612.88416666667</v>
      </c>
      <c r="L19" s="7" t="n">
        <f aca="false">SUM(E19/J19*K19)</f>
        <v>0.75</v>
      </c>
      <c r="M19" s="7" t="n">
        <v>3200.65</v>
      </c>
      <c r="N19" s="7" t="n">
        <f aca="false">SUM(L19*M19)</f>
        <v>2400.4875</v>
      </c>
    </row>
    <row r="20" customFormat="false" ht="31.5" hidden="false" customHeight="false" outlineLevel="0" collapsed="false">
      <c r="A20" s="4" t="s">
        <v>70</v>
      </c>
      <c r="B20" s="7" t="s">
        <v>71</v>
      </c>
      <c r="C20" s="7" t="n">
        <v>550</v>
      </c>
      <c r="D20" s="7" t="n">
        <v>0.05</v>
      </c>
      <c r="E20" s="7" t="n">
        <f aca="false">SUM(C20*D20)</f>
        <v>27.5</v>
      </c>
      <c r="F20" s="7" t="n">
        <f aca="false">SUM(E20/42)</f>
        <v>0.654761904761905</v>
      </c>
      <c r="G20" s="7" t="n">
        <v>25.89</v>
      </c>
      <c r="H20" s="10" t="n">
        <f aca="false">SUM(G20*F20)</f>
        <v>16.9517857142857</v>
      </c>
      <c r="I20" s="27"/>
      <c r="J20" s="31" t="n">
        <v>38709.22</v>
      </c>
      <c r="K20" s="7" t="n">
        <f aca="false">SUM(J20/24)</f>
        <v>1612.88416666667</v>
      </c>
      <c r="L20" s="7" t="n">
        <f aca="false">SUM(E20/J20*K20)</f>
        <v>1.14583333333333</v>
      </c>
      <c r="M20" s="7" t="n">
        <v>31.72</v>
      </c>
      <c r="N20" s="7" t="n">
        <f aca="false">SUM(L20*M20)</f>
        <v>36.3458333333333</v>
      </c>
    </row>
    <row r="21" customFormat="false" ht="15.75" hidden="false" customHeight="false" outlineLevel="0" collapsed="false">
      <c r="A21" s="7" t="s">
        <v>72</v>
      </c>
      <c r="B21" s="7" t="s">
        <v>71</v>
      </c>
      <c r="C21" s="7" t="n">
        <v>50</v>
      </c>
      <c r="D21" s="7" t="n">
        <v>0.05</v>
      </c>
      <c r="E21" s="7" t="n">
        <f aca="false">SUM(C21*D21)</f>
        <v>2.5</v>
      </c>
      <c r="F21" s="7" t="n">
        <f aca="false">SUM(E21/42)</f>
        <v>0.0595238095238095</v>
      </c>
      <c r="G21" s="7" t="n">
        <v>710</v>
      </c>
      <c r="H21" s="10" t="n">
        <f aca="false">SUM(G21*F21)</f>
        <v>42.2619047619048</v>
      </c>
      <c r="I21" s="27"/>
      <c r="J21" s="31" t="n">
        <v>38709.22</v>
      </c>
      <c r="K21" s="7" t="n">
        <f aca="false">SUM(J21/24)</f>
        <v>1612.88416666667</v>
      </c>
      <c r="L21" s="7" t="n">
        <f aca="false">SUM(E21/J21*K21)</f>
        <v>0.104166666666667</v>
      </c>
      <c r="M21" s="7" t="n">
        <v>880</v>
      </c>
      <c r="N21" s="7" t="n">
        <f aca="false">SUM(L21*M21)</f>
        <v>91.6666666666667</v>
      </c>
    </row>
    <row r="22" customFormat="false" ht="15.75" hidden="false" customHeight="false" outlineLevel="0" collapsed="false">
      <c r="A22" s="7"/>
      <c r="B22" s="7"/>
      <c r="C22" s="7"/>
      <c r="D22" s="7"/>
      <c r="E22" s="7"/>
      <c r="F22" s="7"/>
      <c r="G22" s="7"/>
      <c r="H22" s="10" t="n">
        <f aca="false">SUM(H18:H21)</f>
        <v>2451.6694047619</v>
      </c>
      <c r="I22" s="27" t="n">
        <f aca="false">SUM(H22*42)</f>
        <v>102970.115</v>
      </c>
      <c r="J22" s="7"/>
      <c r="K22" s="7"/>
      <c r="L22" s="7"/>
      <c r="M22" s="7"/>
      <c r="N22" s="34" t="n">
        <f aca="false">SUM(N18:N21)</f>
        <v>3079.77083333333</v>
      </c>
      <c r="O22" s="26" t="n">
        <f aca="false">SUM(N22*42)</f>
        <v>129350.375</v>
      </c>
    </row>
    <row r="23" customFormat="false" ht="30.75" hidden="false" customHeight="true" outlineLevel="0" collapsed="false">
      <c r="A23" s="37" t="s">
        <v>75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customFormat="false" ht="15" hidden="false" customHeight="false" outlineLevel="0" collapsed="false">
      <c r="A24" s="7" t="s">
        <v>66</v>
      </c>
      <c r="B24" s="7" t="s">
        <v>67</v>
      </c>
      <c r="C24" s="7" t="n">
        <v>47000</v>
      </c>
      <c r="D24" s="7" t="n">
        <v>0.12</v>
      </c>
      <c r="E24" s="7" t="n">
        <f aca="false">SUM(C24*D24)</f>
        <v>5640</v>
      </c>
      <c r="F24" s="7" t="n">
        <f aca="false">SUM(E24/34)</f>
        <v>165.882352941176</v>
      </c>
      <c r="G24" s="7" t="n">
        <v>9.21</v>
      </c>
      <c r="H24" s="10" t="n">
        <f aca="false">SUM(G24*F24)</f>
        <v>1527.77647058824</v>
      </c>
      <c r="I24" s="27"/>
      <c r="J24" s="31" t="n">
        <v>38709.22</v>
      </c>
      <c r="K24" s="10" t="n">
        <f aca="false">SUM(J24/57)</f>
        <v>679.109122807018</v>
      </c>
      <c r="L24" s="7" t="n">
        <f aca="false">SUM(E24/J24*K24)</f>
        <v>98.9473684210526</v>
      </c>
      <c r="M24" s="31" t="n">
        <v>5.63</v>
      </c>
      <c r="N24" s="7" t="n">
        <f aca="false">SUM(L24*M24)</f>
        <v>557.073684210526</v>
      </c>
    </row>
    <row r="25" customFormat="false" ht="15.75" hidden="false" customHeight="false" outlineLevel="0" collapsed="false">
      <c r="A25" s="7" t="s">
        <v>68</v>
      </c>
      <c r="B25" s="7" t="s">
        <v>69</v>
      </c>
      <c r="C25" s="7" t="n">
        <v>360</v>
      </c>
      <c r="D25" s="7" t="n">
        <v>0.12</v>
      </c>
      <c r="E25" s="7" t="n">
        <f aca="false">SUM(C25*D25)</f>
        <v>43.2</v>
      </c>
      <c r="F25" s="7" t="n">
        <f aca="false">SUM(E25/34)</f>
        <v>1.27058823529412</v>
      </c>
      <c r="G25" s="7" t="n">
        <v>4379.98</v>
      </c>
      <c r="H25" s="10" t="n">
        <f aca="false">SUM(G25*F25)</f>
        <v>5565.15105882353</v>
      </c>
      <c r="I25" s="27"/>
      <c r="J25" s="31" t="n">
        <v>38709.22</v>
      </c>
      <c r="K25" s="10" t="n">
        <f aca="false">SUM(J25/57)</f>
        <v>679.109122807018</v>
      </c>
      <c r="L25" s="7" t="n">
        <f aca="false">SUM(E25/J25*K25)</f>
        <v>0.757894736842105</v>
      </c>
      <c r="M25" s="7" t="n">
        <v>3200.65</v>
      </c>
      <c r="N25" s="7" t="n">
        <f aca="false">SUM(L25*M25)</f>
        <v>2425.75578947368</v>
      </c>
    </row>
    <row r="26" customFormat="false" ht="31.5" hidden="false" customHeight="false" outlineLevel="0" collapsed="false">
      <c r="A26" s="4" t="s">
        <v>70</v>
      </c>
      <c r="B26" s="7" t="s">
        <v>71</v>
      </c>
      <c r="C26" s="7" t="n">
        <v>550</v>
      </c>
      <c r="D26" s="7" t="n">
        <v>0.12</v>
      </c>
      <c r="E26" s="7" t="n">
        <f aca="false">SUM(C26*D26)</f>
        <v>66</v>
      </c>
      <c r="F26" s="7" t="n">
        <f aca="false">SUM(E26/34)</f>
        <v>1.94117647058824</v>
      </c>
      <c r="G26" s="7" t="n">
        <v>25.89</v>
      </c>
      <c r="H26" s="10" t="n">
        <f aca="false">SUM(G26*F26)</f>
        <v>50.2570588235294</v>
      </c>
      <c r="I26" s="27"/>
      <c r="J26" s="31" t="n">
        <v>38709.22</v>
      </c>
      <c r="K26" s="10" t="n">
        <f aca="false">SUM(J26/57)</f>
        <v>679.109122807018</v>
      </c>
      <c r="L26" s="7" t="n">
        <f aca="false">SUM(E26/J26*K26)</f>
        <v>1.15789473684211</v>
      </c>
      <c r="M26" s="7" t="n">
        <v>31.72</v>
      </c>
      <c r="N26" s="7" t="n">
        <f aca="false">SUM(L26*M26)</f>
        <v>36.7284210526316</v>
      </c>
    </row>
    <row r="27" customFormat="false" ht="15.75" hidden="false" customHeight="false" outlineLevel="0" collapsed="false">
      <c r="A27" s="7" t="s">
        <v>72</v>
      </c>
      <c r="B27" s="7" t="s">
        <v>71</v>
      </c>
      <c r="C27" s="7" t="n">
        <v>50</v>
      </c>
      <c r="D27" s="7" t="n">
        <v>0.12</v>
      </c>
      <c r="E27" s="7" t="n">
        <f aca="false">SUM(C27*D27)</f>
        <v>6</v>
      </c>
      <c r="F27" s="7" t="n">
        <f aca="false">SUM(E27/34)</f>
        <v>0.176470588235294</v>
      </c>
      <c r="G27" s="7" t="n">
        <v>710</v>
      </c>
      <c r="H27" s="10" t="n">
        <f aca="false">SUM(G27*F27)</f>
        <v>125.294117647059</v>
      </c>
      <c r="I27" s="27"/>
      <c r="J27" s="31" t="n">
        <v>38709.22</v>
      </c>
      <c r="K27" s="10" t="n">
        <f aca="false">SUM(J27/57)</f>
        <v>679.109122807018</v>
      </c>
      <c r="L27" s="7" t="n">
        <f aca="false">SUM(E27/J27*K27)</f>
        <v>0.105263157894737</v>
      </c>
      <c r="M27" s="7" t="n">
        <v>880</v>
      </c>
      <c r="N27" s="7" t="n">
        <f aca="false">SUM(L27*M27)</f>
        <v>92.6315789473684</v>
      </c>
    </row>
    <row r="28" customFormat="false" ht="15.75" hidden="false" customHeight="false" outlineLevel="0" collapsed="false">
      <c r="A28" s="7"/>
      <c r="B28" s="7"/>
      <c r="C28" s="7"/>
      <c r="D28" s="7"/>
      <c r="E28" s="7"/>
      <c r="F28" s="7"/>
      <c r="G28" s="7"/>
      <c r="H28" s="10" t="n">
        <f aca="false">SUM(H24:H27)</f>
        <v>7268.47870588235</v>
      </c>
      <c r="I28" s="27" t="n">
        <f aca="false">SUM(H28*34)</f>
        <v>247128.276</v>
      </c>
      <c r="J28" s="7"/>
      <c r="K28" s="7"/>
      <c r="L28" s="7"/>
      <c r="M28" s="7"/>
      <c r="N28" s="34" t="n">
        <f aca="false">SUM(N24:N27)</f>
        <v>3112.18947368421</v>
      </c>
      <c r="O28" s="26" t="n">
        <f aca="false">SUM(N28*34)</f>
        <v>105814.442105263</v>
      </c>
    </row>
    <row r="29" customFormat="false" ht="33" hidden="false" customHeight="true" outlineLevel="0" collapsed="false">
      <c r="A29" s="37" t="s">
        <v>76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</row>
    <row r="30" customFormat="false" ht="15" hidden="false" customHeight="false" outlineLevel="0" collapsed="false">
      <c r="A30" s="7" t="s">
        <v>66</v>
      </c>
      <c r="B30" s="7" t="s">
        <v>67</v>
      </c>
      <c r="C30" s="7" t="n">
        <v>47000</v>
      </c>
      <c r="D30" s="7" t="n">
        <v>0.07</v>
      </c>
      <c r="E30" s="7" t="n">
        <f aca="false">SUM(C30*D30)</f>
        <v>3290</v>
      </c>
      <c r="F30" s="7" t="n">
        <f aca="false">SUM(E30/21)</f>
        <v>156.666666666667</v>
      </c>
      <c r="G30" s="7" t="n">
        <v>9.21</v>
      </c>
      <c r="H30" s="10" t="n">
        <f aca="false">SUM(G30*F30)</f>
        <v>1442.9</v>
      </c>
      <c r="I30" s="27"/>
      <c r="J30" s="31" t="n">
        <v>38709.22</v>
      </c>
      <c r="K30" s="10" t="n">
        <f aca="false">SUM(J30/33)</f>
        <v>1173.00666666667</v>
      </c>
      <c r="L30" s="7" t="n">
        <f aca="false">SUM(E30/J30*K30)</f>
        <v>99.6969696969697</v>
      </c>
      <c r="M30" s="31" t="n">
        <v>5.63</v>
      </c>
      <c r="N30" s="7" t="n">
        <f aca="false">SUM(L30*M30)</f>
        <v>561.29393939394</v>
      </c>
    </row>
    <row r="31" customFormat="false" ht="15.75" hidden="false" customHeight="false" outlineLevel="0" collapsed="false">
      <c r="A31" s="7" t="s">
        <v>68</v>
      </c>
      <c r="B31" s="7" t="s">
        <v>69</v>
      </c>
      <c r="C31" s="7" t="n">
        <v>360</v>
      </c>
      <c r="D31" s="7" t="n">
        <v>0.07</v>
      </c>
      <c r="E31" s="7" t="n">
        <f aca="false">SUM(C31*D31)</f>
        <v>25.2</v>
      </c>
      <c r="F31" s="7" t="n">
        <f aca="false">SUM(E31/21)</f>
        <v>1.2</v>
      </c>
      <c r="G31" s="7" t="n">
        <v>4379.98</v>
      </c>
      <c r="H31" s="10" t="n">
        <f aca="false">SUM(G31*F31)</f>
        <v>5255.976</v>
      </c>
      <c r="I31" s="27"/>
      <c r="J31" s="31" t="n">
        <v>38709.22</v>
      </c>
      <c r="K31" s="10" t="n">
        <f aca="false">SUM(J31/33)</f>
        <v>1173.00666666667</v>
      </c>
      <c r="L31" s="7" t="n">
        <f aca="false">SUM(E31/J31*K31)</f>
        <v>0.763636363636364</v>
      </c>
      <c r="M31" s="7" t="n">
        <v>3200.65</v>
      </c>
      <c r="N31" s="7" t="n">
        <f aca="false">SUM(L31*M31)</f>
        <v>2444.13272727273</v>
      </c>
    </row>
    <row r="32" customFormat="false" ht="31.5" hidden="false" customHeight="false" outlineLevel="0" collapsed="false">
      <c r="A32" s="4" t="s">
        <v>70</v>
      </c>
      <c r="B32" s="7" t="s">
        <v>71</v>
      </c>
      <c r="C32" s="7" t="n">
        <v>550</v>
      </c>
      <c r="D32" s="7" t="n">
        <v>0.07</v>
      </c>
      <c r="E32" s="7" t="n">
        <f aca="false">SUM(C32*D32)</f>
        <v>38.5</v>
      </c>
      <c r="F32" s="7" t="n">
        <f aca="false">SUM(E32/21)</f>
        <v>1.83333333333333</v>
      </c>
      <c r="G32" s="7" t="n">
        <v>25.89</v>
      </c>
      <c r="H32" s="10" t="n">
        <f aca="false">SUM(G32*F32)</f>
        <v>47.465</v>
      </c>
      <c r="I32" s="27"/>
      <c r="J32" s="31" t="n">
        <v>38709.22</v>
      </c>
      <c r="K32" s="10" t="n">
        <f aca="false">SUM(J32/33)</f>
        <v>1173.00666666667</v>
      </c>
      <c r="L32" s="7" t="n">
        <f aca="false">SUM(E32/J32*K32)</f>
        <v>1.16666666666667</v>
      </c>
      <c r="M32" s="7" t="n">
        <v>31.75</v>
      </c>
      <c r="N32" s="7" t="n">
        <f aca="false">SUM(L32*M32)</f>
        <v>37.0416666666667</v>
      </c>
    </row>
    <row r="33" customFormat="false" ht="15.75" hidden="false" customHeight="false" outlineLevel="0" collapsed="false">
      <c r="A33" s="7" t="s">
        <v>72</v>
      </c>
      <c r="B33" s="7" t="s">
        <v>71</v>
      </c>
      <c r="C33" s="7" t="n">
        <v>50</v>
      </c>
      <c r="D33" s="7" t="n">
        <v>0.07</v>
      </c>
      <c r="E33" s="7" t="n">
        <f aca="false">SUM(C33*D33)</f>
        <v>3.5</v>
      </c>
      <c r="F33" s="7" t="n">
        <f aca="false">SUM(E33/21)</f>
        <v>0.166666666666667</v>
      </c>
      <c r="G33" s="7" t="n">
        <v>710</v>
      </c>
      <c r="H33" s="10" t="n">
        <f aca="false">SUM(G33*F33)</f>
        <v>118.333333333333</v>
      </c>
      <c r="I33" s="27"/>
      <c r="J33" s="31" t="n">
        <v>38709.22</v>
      </c>
      <c r="K33" s="10" t="n">
        <f aca="false">SUM(J33/33)</f>
        <v>1173.00666666667</v>
      </c>
      <c r="L33" s="7" t="n">
        <f aca="false">SUM(E33/J33*K33)</f>
        <v>0.106060606060606</v>
      </c>
      <c r="M33" s="7" t="n">
        <v>880</v>
      </c>
      <c r="N33" s="7" t="n">
        <f aca="false">SUM(L33*M33)</f>
        <v>93.3333333333333</v>
      </c>
    </row>
    <row r="34" customFormat="false" ht="15.75" hidden="false" customHeight="false" outlineLevel="0" collapsed="false">
      <c r="A34" s="7"/>
      <c r="B34" s="7"/>
      <c r="C34" s="7"/>
      <c r="D34" s="7"/>
      <c r="E34" s="7"/>
      <c r="F34" s="7"/>
      <c r="G34" s="7"/>
      <c r="H34" s="10" t="n">
        <f aca="false">SUM(H30:H33)</f>
        <v>6864.67433333333</v>
      </c>
      <c r="I34" s="27" t="n">
        <f aca="false">SUM(H34*21)</f>
        <v>144158.161</v>
      </c>
      <c r="J34" s="7"/>
      <c r="K34" s="7"/>
      <c r="L34" s="7"/>
      <c r="M34" s="7"/>
      <c r="N34" s="34" t="n">
        <f aca="false">SUM(N30:N33)</f>
        <v>3135.80166666667</v>
      </c>
      <c r="O34" s="26" t="n">
        <f aca="false">SUM(N34*21)</f>
        <v>65851.835</v>
      </c>
    </row>
    <row r="35" customFormat="false" ht="15.75" hidden="false" customHeight="false" outlineLevel="0" collapsed="false">
      <c r="A35" s="27"/>
      <c r="B35" s="27"/>
      <c r="C35" s="27"/>
      <c r="D35" s="36"/>
      <c r="E35" s="36"/>
      <c r="F35" s="36"/>
      <c r="G35" s="36"/>
      <c r="H35" s="27"/>
      <c r="I35" s="27" t="n">
        <f aca="false">SUM(I10+I16+I22+I28+I34)</f>
        <v>2100590.346</v>
      </c>
      <c r="J35" s="27"/>
      <c r="K35" s="27"/>
      <c r="L35" s="27"/>
      <c r="M35" s="27"/>
      <c r="N35" s="27"/>
      <c r="O35" s="26" t="n">
        <f aca="false">SUM(O10+O16+O22+O28+O34)</f>
        <v>1371887.02237553</v>
      </c>
    </row>
  </sheetData>
  <mergeCells count="8">
    <mergeCell ref="A1:N1"/>
    <mergeCell ref="A2:N2"/>
    <mergeCell ref="B3:H3"/>
    <mergeCell ref="A5:N5"/>
    <mergeCell ref="A11:N11"/>
    <mergeCell ref="A17:N17"/>
    <mergeCell ref="A23:N23"/>
    <mergeCell ref="A29:N2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20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G7" activeCellId="0" sqref="G7"/>
    </sheetView>
  </sheetViews>
  <sheetFormatPr defaultRowHeight="15" zeroHeight="false" outlineLevelRow="0" outlineLevelCol="0"/>
  <cols>
    <col collapsed="false" customWidth="true" hidden="false" outlineLevel="0" max="1" min="1" style="0" width="27.85"/>
    <col collapsed="false" customWidth="true" hidden="false" outlineLevel="0" max="3" min="2" style="0" width="8.67"/>
    <col collapsed="false" customWidth="true" hidden="false" outlineLevel="0" max="4" min="4" style="0" width="10"/>
    <col collapsed="false" customWidth="true" hidden="false" outlineLevel="0" max="5" min="5" style="0" width="8"/>
    <col collapsed="false" customWidth="true" hidden="false" outlineLevel="0" max="6" min="6" style="0" width="10.12"/>
    <col collapsed="false" customWidth="true" hidden="false" outlineLevel="0" max="7" min="7" style="0" width="11.3"/>
    <col collapsed="false" customWidth="true" hidden="false" outlineLevel="0" max="8" min="8" style="0" width="16.29"/>
    <col collapsed="false" customWidth="true" hidden="false" outlineLevel="0" max="9" min="9" style="0" width="11.3"/>
    <col collapsed="false" customWidth="true" hidden="false" outlineLevel="0" max="1025" min="10" style="0" width="8.67"/>
  </cols>
  <sheetData>
    <row r="1" customFormat="false" ht="45.75" hidden="false" customHeight="true" outlineLevel="0" collapsed="false">
      <c r="A1" s="2" t="s">
        <v>77</v>
      </c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A2" s="38" t="s">
        <v>78</v>
      </c>
      <c r="B2" s="38"/>
      <c r="C2" s="38"/>
      <c r="D2" s="38"/>
      <c r="E2" s="38"/>
      <c r="F2" s="38"/>
      <c r="G2" s="38"/>
      <c r="H2" s="38"/>
    </row>
    <row r="3" customFormat="false" ht="15" hidden="false" customHeight="true" outlineLevel="0" collapsed="false">
      <c r="A3" s="38" t="s">
        <v>79</v>
      </c>
      <c r="B3" s="38"/>
      <c r="C3" s="38"/>
      <c r="D3" s="38"/>
      <c r="E3" s="38"/>
      <c r="F3" s="38"/>
      <c r="G3" s="38"/>
      <c r="H3" s="38"/>
    </row>
    <row r="4" customFormat="false" ht="27" hidden="false" customHeight="true" outlineLevel="0" collapsed="false">
      <c r="A4" s="38" t="s">
        <v>80</v>
      </c>
      <c r="B4" s="38"/>
      <c r="C4" s="38"/>
      <c r="D4" s="38"/>
      <c r="E4" s="38"/>
      <c r="F4" s="38"/>
      <c r="G4" s="38"/>
      <c r="H4" s="38"/>
    </row>
    <row r="5" customFormat="false" ht="93" hidden="false" customHeight="true" outlineLevel="0" collapsed="false">
      <c r="A5" s="39" t="s">
        <v>81</v>
      </c>
      <c r="B5" s="40" t="s">
        <v>24</v>
      </c>
      <c r="C5" s="40" t="s">
        <v>25</v>
      </c>
      <c r="D5" s="40" t="s">
        <v>82</v>
      </c>
      <c r="E5" s="40" t="s">
        <v>83</v>
      </c>
      <c r="F5" s="40" t="s">
        <v>84</v>
      </c>
      <c r="G5" s="40" t="s">
        <v>85</v>
      </c>
      <c r="H5" s="41" t="s">
        <v>62</v>
      </c>
    </row>
    <row r="6" s="45" customFormat="true" ht="13.5" hidden="false" customHeight="true" outlineLevel="0" collapsed="false">
      <c r="A6" s="42" t="n">
        <v>1</v>
      </c>
      <c r="B6" s="43" t="n">
        <v>2</v>
      </c>
      <c r="C6" s="43" t="n">
        <v>3</v>
      </c>
      <c r="D6" s="43" t="n">
        <v>4</v>
      </c>
      <c r="E6" s="43" t="n">
        <v>5</v>
      </c>
      <c r="F6" s="43" t="n">
        <v>6</v>
      </c>
      <c r="G6" s="43" t="n">
        <v>7</v>
      </c>
      <c r="H6" s="44" t="n">
        <v>8</v>
      </c>
    </row>
    <row r="7" customFormat="false" ht="15.75" hidden="false" customHeight="false" outlineLevel="0" collapsed="false">
      <c r="A7" s="19" t="s">
        <v>27</v>
      </c>
      <c r="B7" s="7" t="n">
        <v>1</v>
      </c>
      <c r="C7" s="7" t="n">
        <v>10723.35</v>
      </c>
      <c r="D7" s="7" t="n">
        <f aca="false">B7*1772.4</f>
        <v>1772.4</v>
      </c>
      <c r="E7" s="7" t="n">
        <v>675</v>
      </c>
      <c r="F7" s="10" t="n">
        <f aca="false">SUM(D7/E7)</f>
        <v>2.62577777777778</v>
      </c>
      <c r="G7" s="10" t="n">
        <f aca="false">SUM(C7*12*1.302/1772.4)</f>
        <v>94.5281090047393</v>
      </c>
      <c r="H7" s="46" t="n">
        <f aca="false">SUM(F7*G7)</f>
        <v>248.209808</v>
      </c>
    </row>
    <row r="8" customFormat="false" ht="15.75" hidden="false" customHeight="false" outlineLevel="0" collapsed="false">
      <c r="A8" s="19" t="s">
        <v>29</v>
      </c>
      <c r="B8" s="7" t="n">
        <v>1</v>
      </c>
      <c r="C8" s="7" t="n">
        <v>9362.1</v>
      </c>
      <c r="D8" s="7" t="n">
        <f aca="false">B8*1772.4</f>
        <v>1772.4</v>
      </c>
      <c r="E8" s="7" t="n">
        <v>675</v>
      </c>
      <c r="F8" s="10" t="n">
        <f aca="false">SUM(D8/E8)</f>
        <v>2.62577777777778</v>
      </c>
      <c r="G8" s="10" t="n">
        <f aca="false">SUM(C8*12*1.302/1772.4)</f>
        <v>82.5284644549763</v>
      </c>
      <c r="H8" s="46" t="n">
        <f aca="false">SUM(F8*G8)</f>
        <v>216.701408</v>
      </c>
    </row>
    <row r="9" customFormat="false" ht="15.75" hidden="false" customHeight="false" outlineLevel="0" collapsed="false">
      <c r="A9" s="19" t="s">
        <v>31</v>
      </c>
      <c r="B9" s="7" t="n">
        <v>3</v>
      </c>
      <c r="C9" s="7" t="n">
        <v>31036.5</v>
      </c>
      <c r="D9" s="7" t="n">
        <f aca="false">B9*1772.4</f>
        <v>5317.2</v>
      </c>
      <c r="E9" s="7" t="n">
        <v>675</v>
      </c>
      <c r="F9" s="10" t="n">
        <f aca="false">SUM(D9/E9)</f>
        <v>7.87733333333333</v>
      </c>
      <c r="G9" s="10" t="n">
        <f aca="false">SUM(C9*12*1.302/1772.4/B9)</f>
        <v>91.197298578199</v>
      </c>
      <c r="H9" s="46" t="n">
        <f aca="false">SUM(F9*G9)</f>
        <v>718.39152</v>
      </c>
    </row>
    <row r="10" customFormat="false" ht="15" hidden="false" customHeight="false" outlineLevel="0" collapsed="false">
      <c r="A10" s="19" t="s">
        <v>33</v>
      </c>
      <c r="B10" s="7" t="n">
        <v>2</v>
      </c>
      <c r="C10" s="7" t="n">
        <v>19582.2</v>
      </c>
      <c r="D10" s="7" t="n">
        <f aca="false">B10*1772.4</f>
        <v>3544.8</v>
      </c>
      <c r="E10" s="7" t="n">
        <v>675</v>
      </c>
      <c r="F10" s="10" t="n">
        <f aca="false">SUM(D10/E10)</f>
        <v>5.25155555555556</v>
      </c>
      <c r="G10" s="10" t="n">
        <f aca="false">SUM(C10*12*1.302/1772.4/B10)</f>
        <v>86.3101706161138</v>
      </c>
      <c r="H10" s="46" t="n">
        <f aca="false">SUM(F10*G10)</f>
        <v>453.262656</v>
      </c>
      <c r="I10" s="0" t="n">
        <f aca="false">SUM(C9/B9*B10)</f>
        <v>20691</v>
      </c>
    </row>
    <row r="11" customFormat="false" ht="15.75" hidden="false" customHeight="false" outlineLevel="0" collapsed="false">
      <c r="A11" s="19" t="s">
        <v>35</v>
      </c>
      <c r="B11" s="7" t="n">
        <v>1.5</v>
      </c>
      <c r="C11" s="7" t="n">
        <v>14043.15</v>
      </c>
      <c r="D11" s="7" t="n">
        <f aca="false">B11*1772.4</f>
        <v>2658.6</v>
      </c>
      <c r="E11" s="7" t="n">
        <v>675</v>
      </c>
      <c r="F11" s="10" t="n">
        <f aca="false">SUM(D11/E11)</f>
        <v>3.93866666666667</v>
      </c>
      <c r="G11" s="10" t="n">
        <f aca="false">SUM(C11*12*1.302/1772.4/B11)</f>
        <v>82.5284644549763</v>
      </c>
      <c r="H11" s="46" t="n">
        <f aca="false">SUM(F11*G11)</f>
        <v>325.052112</v>
      </c>
    </row>
    <row r="12" customFormat="false" ht="31.5" hidden="false" customHeight="false" outlineLevel="0" collapsed="false">
      <c r="A12" s="21" t="s">
        <v>37</v>
      </c>
      <c r="B12" s="7" t="n">
        <v>16</v>
      </c>
      <c r="C12" s="7" t="n">
        <v>149793.6</v>
      </c>
      <c r="D12" s="7" t="n">
        <f aca="false">B12*1772.4</f>
        <v>28358.4</v>
      </c>
      <c r="E12" s="7" t="n">
        <v>675</v>
      </c>
      <c r="F12" s="10" t="n">
        <f aca="false">SUM(D12/E12)</f>
        <v>42.0124444444445</v>
      </c>
      <c r="G12" s="10" t="n">
        <f aca="false">SUM(C12*12*1.302/1772.4/B12)</f>
        <v>82.5284644549763</v>
      </c>
      <c r="H12" s="46" t="n">
        <f aca="false">SUM(F12*G12)</f>
        <v>3467.222528</v>
      </c>
      <c r="I12" s="0" t="n">
        <f aca="false">SUM(B12:H12)</f>
        <v>182434.763436899</v>
      </c>
    </row>
    <row r="13" s="50" customFormat="true" ht="15.75" hidden="false" customHeight="false" outlineLevel="0" collapsed="false">
      <c r="A13" s="47" t="s">
        <v>86</v>
      </c>
      <c r="B13" s="34" t="n">
        <v>24.5</v>
      </c>
      <c r="C13" s="34" t="n">
        <v>434460.28</v>
      </c>
      <c r="D13" s="34" t="n">
        <f aca="false">SUM(D7:D12)</f>
        <v>43423.8</v>
      </c>
      <c r="E13" s="34" t="n">
        <v>675</v>
      </c>
      <c r="F13" s="48" t="n">
        <f aca="false">SUM(D13/E13)</f>
        <v>64.3315555555556</v>
      </c>
      <c r="G13" s="48" t="n">
        <f aca="false">SUM(C13*12*1.302/1772.4/B13)</f>
        <v>156.319976941677</v>
      </c>
      <c r="H13" s="49" t="n">
        <f aca="false">SUM(F13*G13)</f>
        <v>10056.3072810667</v>
      </c>
    </row>
    <row r="14" customFormat="false" ht="15.75" hidden="false" customHeight="false" outlineLevel="0" collapsed="false">
      <c r="A14" s="19"/>
      <c r="B14" s="34" t="n">
        <f aca="false">SUM(B7:B12)</f>
        <v>24.5</v>
      </c>
      <c r="C14" s="34" t="n">
        <f aca="false">SUM(C7:C13)</f>
        <v>669001.18</v>
      </c>
      <c r="D14" s="51" t="n">
        <f aca="false">SUM(D7:D12)</f>
        <v>43423.8</v>
      </c>
      <c r="E14" s="7"/>
      <c r="F14" s="34"/>
      <c r="G14" s="7"/>
      <c r="H14" s="49" t="n">
        <f aca="false">SUM(H7:H13)</f>
        <v>15485.1473130667</v>
      </c>
    </row>
    <row r="15" customFormat="false" ht="15.75" hidden="false" customHeight="false" outlineLevel="0" collapsed="false">
      <c r="A15" s="52" t="s">
        <v>87</v>
      </c>
      <c r="B15" s="52"/>
      <c r="C15" s="52"/>
      <c r="D15" s="52"/>
      <c r="E15" s="52"/>
      <c r="F15" s="52"/>
      <c r="G15" s="52"/>
      <c r="H15" s="49" t="n">
        <f aca="false">H14</f>
        <v>15485.1473130667</v>
      </c>
    </row>
    <row r="16" customFormat="false" ht="78.75" hidden="false" customHeight="false" outlineLevel="0" collapsed="false">
      <c r="A16" s="21" t="s">
        <v>88</v>
      </c>
      <c r="B16" s="53" t="n">
        <v>2.66</v>
      </c>
      <c r="C16" s="53" t="n">
        <v>18724.2</v>
      </c>
      <c r="D16" s="10" t="n">
        <f aca="false">SUM(1772.4*B16)</f>
        <v>4714.584</v>
      </c>
      <c r="E16" s="53" t="n">
        <v>194</v>
      </c>
      <c r="F16" s="10" t="n">
        <f aca="false">SUM(D16/E16)</f>
        <v>24.3019793814433</v>
      </c>
      <c r="G16" s="10" t="n">
        <f aca="false">SUM(C16*12*1.302/1772.4/B16)</f>
        <v>62.0514770338168</v>
      </c>
      <c r="H16" s="46" t="n">
        <f aca="false">SUM(H15*0.66)</f>
        <v>10220.197226624</v>
      </c>
    </row>
    <row r="17" customFormat="false" ht="16.5" hidden="false" customHeight="false" outlineLevel="0" collapsed="false">
      <c r="A17" s="54"/>
      <c r="B17" s="55" t="n">
        <f aca="false">SUM(B14-B16)</f>
        <v>21.84</v>
      </c>
      <c r="C17" s="55" t="n">
        <f aca="false">SUM(C14-C16)</f>
        <v>650276.98</v>
      </c>
      <c r="D17" s="56" t="n">
        <f aca="false">SUM(D14-D16)</f>
        <v>38709.216</v>
      </c>
      <c r="E17" s="55" t="n">
        <v>481</v>
      </c>
      <c r="F17" s="56" t="n">
        <f aca="false">SUM(D17/E17)</f>
        <v>80.4765405405405</v>
      </c>
      <c r="G17" s="56" t="n">
        <f aca="false">SUM(C17*12*1.302/1772.4/B17)</f>
        <v>262.467923285246</v>
      </c>
      <c r="H17" s="57"/>
    </row>
    <row r="18" customFormat="false" ht="31.5" hidden="false" customHeight="false" outlineLevel="0" collapsed="false">
      <c r="A18" s="58" t="s">
        <v>89</v>
      </c>
      <c r="B18" s="27"/>
      <c r="C18" s="27"/>
      <c r="D18" s="33" t="n">
        <f aca="false">SUM(D14/B14)</f>
        <v>1772.4</v>
      </c>
      <c r="E18" s="27"/>
      <c r="F18" s="27"/>
      <c r="G18" s="27"/>
      <c r="H18" s="59" t="n">
        <f aca="false">SUM(H15*675)</f>
        <v>10452474.43632</v>
      </c>
      <c r="I18" s="0" t="n">
        <f aca="false">SUM(H16*675)</f>
        <v>6898633.1279712</v>
      </c>
    </row>
    <row r="19" customFormat="false" ht="94.5" hidden="false" customHeight="false" outlineLevel="0" collapsed="false">
      <c r="A19" s="58" t="s">
        <v>90</v>
      </c>
      <c r="B19" s="27"/>
      <c r="C19" s="27"/>
      <c r="D19" s="33" t="n">
        <f aca="false">SUM(D14/675)</f>
        <v>64.3315555555556</v>
      </c>
      <c r="E19" s="27"/>
      <c r="F19" s="27"/>
      <c r="G19" s="27"/>
      <c r="H19" s="60" t="n">
        <f aca="false">SUM(H18)*0.3</f>
        <v>3135742.330896</v>
      </c>
    </row>
    <row r="20" customFormat="false" ht="110.25" hidden="false" customHeight="false" outlineLevel="0" collapsed="false">
      <c r="A20" s="58" t="s">
        <v>91</v>
      </c>
      <c r="B20" s="27"/>
      <c r="C20" s="27"/>
      <c r="D20" s="61" t="n">
        <f aca="false">SUM(D17/481)</f>
        <v>80.4765405405405</v>
      </c>
      <c r="E20" s="27"/>
      <c r="F20" s="27"/>
      <c r="G20" s="27"/>
      <c r="H20" s="27"/>
    </row>
  </sheetData>
  <mergeCells count="5">
    <mergeCell ref="A1:H1"/>
    <mergeCell ref="A2:H2"/>
    <mergeCell ref="A3:H3"/>
    <mergeCell ref="A4:H4"/>
    <mergeCell ref="A15:G1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N8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5" activeCellId="0" sqref="G85"/>
    </sheetView>
  </sheetViews>
  <sheetFormatPr defaultRowHeight="15" zeroHeight="false" outlineLevelRow="0" outlineLevelCol="0"/>
  <cols>
    <col collapsed="false" customWidth="true" hidden="false" outlineLevel="0" max="1" min="1" style="26" width="25.14"/>
    <col collapsed="false" customWidth="true" hidden="false" outlineLevel="0" max="2" min="2" style="26" width="10.58"/>
    <col collapsed="false" customWidth="true" hidden="false" outlineLevel="0" max="3" min="3" style="26" width="12.57"/>
    <col collapsed="false" customWidth="false" hidden="true" outlineLevel="0" max="4" min="4" style="26" width="11.42"/>
    <col collapsed="false" customWidth="true" hidden="false" outlineLevel="0" max="5" min="5" style="26" width="17.4"/>
    <col collapsed="false" customWidth="true" hidden="false" outlineLevel="0" max="6" min="6" style="26" width="16.71"/>
    <col collapsed="false" customWidth="true" hidden="false" outlineLevel="0" max="7" min="7" style="26" width="10.71"/>
    <col collapsed="false" customWidth="true" hidden="false" outlineLevel="0" max="8" min="8" style="26" width="12.14"/>
    <col collapsed="false" customWidth="true" hidden="false" outlineLevel="0" max="14" min="9" style="62" width="9.13"/>
    <col collapsed="false" customWidth="true" hidden="false" outlineLevel="0" max="1025" min="15" style="26" width="9.13"/>
  </cols>
  <sheetData>
    <row r="1" customFormat="false" ht="15.75" hidden="false" customHeight="false" outlineLevel="0" collapsed="false">
      <c r="A1" s="28" t="s">
        <v>92</v>
      </c>
      <c r="B1" s="28"/>
      <c r="C1" s="28"/>
      <c r="D1" s="28"/>
      <c r="E1" s="28"/>
      <c r="F1" s="28"/>
      <c r="G1" s="28"/>
      <c r="H1" s="28"/>
    </row>
    <row r="2" customFormat="false" ht="81" hidden="false" customHeight="true" outlineLevel="0" collapsed="false">
      <c r="A2" s="7" t="s">
        <v>93</v>
      </c>
      <c r="B2" s="4" t="s">
        <v>94</v>
      </c>
      <c r="C2" s="4" t="s">
        <v>95</v>
      </c>
      <c r="D2" s="4"/>
      <c r="E2" s="4" t="s">
        <v>63</v>
      </c>
      <c r="F2" s="4" t="s">
        <v>64</v>
      </c>
      <c r="G2" s="4" t="s">
        <v>96</v>
      </c>
      <c r="H2" s="4" t="s">
        <v>62</v>
      </c>
    </row>
    <row r="3" customFormat="false" ht="35.25" hidden="false" customHeight="true" outlineLevel="0" collapsed="false">
      <c r="A3" s="30" t="s">
        <v>97</v>
      </c>
      <c r="B3" s="30"/>
      <c r="C3" s="30"/>
      <c r="D3" s="30"/>
      <c r="E3" s="30"/>
      <c r="F3" s="30"/>
      <c r="G3" s="30"/>
      <c r="H3" s="30"/>
      <c r="I3" s="63"/>
      <c r="J3" s="63"/>
      <c r="K3" s="63"/>
      <c r="L3" s="63"/>
      <c r="M3" s="63"/>
      <c r="N3" s="63"/>
    </row>
    <row r="4" customFormat="false" ht="15.75" hidden="false" customHeight="false" outlineLevel="0" collapsed="false">
      <c r="A4" s="7" t="s">
        <v>98</v>
      </c>
      <c r="B4" s="7" t="n">
        <v>5</v>
      </c>
      <c r="C4" s="64" t="n">
        <v>850</v>
      </c>
      <c r="D4" s="64" t="n">
        <f aca="false">SUM(B4*C4)</f>
        <v>4250</v>
      </c>
      <c r="E4" s="7" t="n">
        <v>38709.2</v>
      </c>
      <c r="F4" s="65" t="n">
        <f aca="false">SUM(E4/330)</f>
        <v>117.300606060606</v>
      </c>
      <c r="G4" s="65" t="n">
        <f aca="false">SUM(B4*0.7/E4*F4)</f>
        <v>0.0106060606060606</v>
      </c>
      <c r="H4" s="10" t="n">
        <f aca="false">SUM(C4*G4)</f>
        <v>9.01515151515152</v>
      </c>
    </row>
    <row r="5" customFormat="false" ht="47.25" hidden="false" customHeight="false" outlineLevel="0" collapsed="false">
      <c r="A5" s="4" t="s">
        <v>99</v>
      </c>
      <c r="B5" s="7" t="n">
        <v>12</v>
      </c>
      <c r="C5" s="64" t="n">
        <v>14400</v>
      </c>
      <c r="D5" s="64" t="n">
        <f aca="false">SUM(B5*C5)</f>
        <v>172800</v>
      </c>
      <c r="E5" s="7" t="n">
        <v>38709.2</v>
      </c>
      <c r="F5" s="65" t="n">
        <f aca="false">SUM(E5/330)</f>
        <v>117.300606060606</v>
      </c>
      <c r="G5" s="65" t="n">
        <f aca="false">SUM(B5*0.7/E5*F5)</f>
        <v>0.0254545454545455</v>
      </c>
      <c r="H5" s="10" t="n">
        <f aca="false">SUM(C5*G5)</f>
        <v>366.545454545455</v>
      </c>
    </row>
    <row r="6" customFormat="false" ht="15.75" hidden="false" customHeight="false" outlineLevel="0" collapsed="false">
      <c r="A6" s="7" t="s">
        <v>100</v>
      </c>
      <c r="B6" s="7" t="n">
        <v>4</v>
      </c>
      <c r="C6" s="64" t="n">
        <v>2687</v>
      </c>
      <c r="D6" s="64" t="n">
        <f aca="false">SUM(B6*C6)</f>
        <v>10748</v>
      </c>
      <c r="E6" s="7" t="n">
        <v>38709.2</v>
      </c>
      <c r="F6" s="65" t="n">
        <f aca="false">SUM(E6/330)</f>
        <v>117.300606060606</v>
      </c>
      <c r="G6" s="65" t="n">
        <f aca="false">SUM(B6*0.7/E6*F6)</f>
        <v>0.00848484848484849</v>
      </c>
      <c r="H6" s="10" t="n">
        <f aca="false">SUM(C6*G6)</f>
        <v>22.7987878787879</v>
      </c>
    </row>
    <row r="7" customFormat="false" ht="15" hidden="false" customHeight="false" outlineLevel="0" collapsed="false">
      <c r="A7" s="7" t="s">
        <v>101</v>
      </c>
      <c r="B7" s="7"/>
      <c r="C7" s="64" t="n">
        <v>1135</v>
      </c>
      <c r="D7" s="64" t="n">
        <f aca="false">SUM(B7*C7)</f>
        <v>0</v>
      </c>
      <c r="E7" s="7" t="n">
        <v>38709.2</v>
      </c>
      <c r="F7" s="65" t="n">
        <f aca="false">SUM(E7/330)</f>
        <v>117.300606060606</v>
      </c>
      <c r="G7" s="65" t="n">
        <f aca="false">SUM(B7*0.7/E7*F7)</f>
        <v>0</v>
      </c>
      <c r="H7" s="10" t="n">
        <f aca="false">SUM(C7*G7)</f>
        <v>0</v>
      </c>
    </row>
    <row r="8" customFormat="false" ht="15.75" hidden="false" customHeight="false" outlineLevel="0" collapsed="false">
      <c r="A8" s="7" t="s">
        <v>102</v>
      </c>
      <c r="B8" s="7" t="n">
        <v>12</v>
      </c>
      <c r="C8" s="64" t="n">
        <v>800</v>
      </c>
      <c r="D8" s="64" t="n">
        <f aca="false">SUM(B8*C8)</f>
        <v>9600</v>
      </c>
      <c r="E8" s="7" t="n">
        <v>38709.2</v>
      </c>
      <c r="F8" s="65" t="n">
        <f aca="false">SUM(E8/330)</f>
        <v>117.300606060606</v>
      </c>
      <c r="G8" s="65" t="n">
        <f aca="false">SUM(B8*0.7/E8*F8)</f>
        <v>0.0254545454545455</v>
      </c>
      <c r="H8" s="10" t="n">
        <f aca="false">SUM(C8*G8)</f>
        <v>20.3636363636364</v>
      </c>
    </row>
    <row r="9" customFormat="false" ht="15" hidden="false" customHeight="false" outlineLevel="0" collapsed="false">
      <c r="A9" s="4" t="s">
        <v>103</v>
      </c>
      <c r="B9" s="7"/>
      <c r="C9" s="64" t="n">
        <v>20000</v>
      </c>
      <c r="D9" s="64" t="n">
        <f aca="false">SUM(B9*C9)</f>
        <v>0</v>
      </c>
      <c r="E9" s="7" t="n">
        <v>38709.2</v>
      </c>
      <c r="F9" s="65" t="n">
        <f aca="false">SUM(E9/330)</f>
        <v>117.300606060606</v>
      </c>
      <c r="G9" s="65" t="n">
        <f aca="false">SUM(B9*0.7/E9*F9)</f>
        <v>0</v>
      </c>
      <c r="H9" s="10" t="n">
        <f aca="false">SUM(C9*G9)</f>
        <v>0</v>
      </c>
    </row>
    <row r="10" customFormat="false" ht="26.85" hidden="false" customHeight="false" outlineLevel="0" collapsed="false">
      <c r="A10" s="4" t="s">
        <v>104</v>
      </c>
      <c r="B10" s="7"/>
      <c r="C10" s="64" t="n">
        <v>12000</v>
      </c>
      <c r="D10" s="64" t="n">
        <f aca="false">SUM(B10*C10)</f>
        <v>0</v>
      </c>
      <c r="E10" s="7" t="n">
        <v>38709.2</v>
      </c>
      <c r="F10" s="65" t="n">
        <f aca="false">SUM(E10/330)</f>
        <v>117.300606060606</v>
      </c>
      <c r="G10" s="65" t="n">
        <f aca="false">SUM(B10*0.7/E10*F10)</f>
        <v>0</v>
      </c>
      <c r="H10" s="10" t="n">
        <f aca="false">SUM(C10*G10)</f>
        <v>0</v>
      </c>
    </row>
    <row r="11" customFormat="false" ht="31.5" hidden="false" customHeight="false" outlineLevel="0" collapsed="false">
      <c r="A11" s="4" t="s">
        <v>105</v>
      </c>
      <c r="B11" s="7" t="n">
        <v>1</v>
      </c>
      <c r="C11" s="64" t="n">
        <v>3400</v>
      </c>
      <c r="D11" s="64" t="n">
        <f aca="false">SUM(B11*C11)</f>
        <v>3400</v>
      </c>
      <c r="E11" s="7" t="n">
        <v>38709.2</v>
      </c>
      <c r="F11" s="65" t="n">
        <f aca="false">SUM(E11/330)</f>
        <v>117.300606060606</v>
      </c>
      <c r="G11" s="65" t="n">
        <f aca="false">SUM(B11*0.7/E11*F11)</f>
        <v>0.00212121212121212</v>
      </c>
      <c r="H11" s="10" t="n">
        <f aca="false">SUM(C11*G11)</f>
        <v>7.21212121212121</v>
      </c>
    </row>
    <row r="12" customFormat="false" ht="31.5" hidden="false" customHeight="false" outlineLevel="0" collapsed="false">
      <c r="A12" s="4" t="s">
        <v>106</v>
      </c>
      <c r="B12" s="7" t="n">
        <v>1</v>
      </c>
      <c r="C12" s="64" t="n">
        <v>33000</v>
      </c>
      <c r="D12" s="64" t="n">
        <f aca="false">SUM(B12*C12)</f>
        <v>33000</v>
      </c>
      <c r="E12" s="7" t="n">
        <v>38709.2</v>
      </c>
      <c r="F12" s="65" t="n">
        <f aca="false">SUM(E12/330)</f>
        <v>117.300606060606</v>
      </c>
      <c r="G12" s="65" t="n">
        <f aca="false">SUM(B12*0.7/E12*F12)</f>
        <v>0.00212121212121212</v>
      </c>
      <c r="H12" s="10" t="n">
        <f aca="false">SUM(C12*G12)</f>
        <v>70</v>
      </c>
    </row>
    <row r="13" customFormat="false" ht="31.5" hidden="false" customHeight="false" outlineLevel="0" collapsed="false">
      <c r="A13" s="4" t="s">
        <v>107</v>
      </c>
      <c r="B13" s="7" t="n">
        <v>1</v>
      </c>
      <c r="C13" s="64" t="n">
        <v>21000</v>
      </c>
      <c r="D13" s="64" t="n">
        <f aca="false">SUM(B13*C13)</f>
        <v>21000</v>
      </c>
      <c r="E13" s="7" t="n">
        <v>38709.2</v>
      </c>
      <c r="F13" s="65" t="n">
        <f aca="false">SUM(E13/330)</f>
        <v>117.300606060606</v>
      </c>
      <c r="G13" s="65" t="n">
        <f aca="false">SUM(B13*0.7/E13*F13)</f>
        <v>0.00212121212121212</v>
      </c>
      <c r="H13" s="10" t="n">
        <f aca="false">SUM(C13*G13)</f>
        <v>44.5454545454546</v>
      </c>
    </row>
    <row r="14" customFormat="false" ht="31.5" hidden="false" customHeight="false" outlineLevel="0" collapsed="false">
      <c r="A14" s="4" t="s">
        <v>108</v>
      </c>
      <c r="B14" s="7" t="n">
        <v>65</v>
      </c>
      <c r="C14" s="64" t="n">
        <v>800</v>
      </c>
      <c r="D14" s="64" t="n">
        <f aca="false">SUM(B14*C14)</f>
        <v>52000</v>
      </c>
      <c r="E14" s="7" t="n">
        <v>38709.2</v>
      </c>
      <c r="F14" s="65" t="n">
        <f aca="false">SUM(E14/330)</f>
        <v>117.300606060606</v>
      </c>
      <c r="G14" s="65" t="n">
        <f aca="false">SUM(B14*0.7/E14*F14)</f>
        <v>0.137878787878788</v>
      </c>
      <c r="H14" s="10" t="n">
        <f aca="false">SUM(C14*G14)</f>
        <v>110.30303030303</v>
      </c>
    </row>
    <row r="15" customFormat="false" ht="31.5" hidden="false" customHeight="false" outlineLevel="0" collapsed="false">
      <c r="A15" s="4" t="s">
        <v>109</v>
      </c>
      <c r="B15" s="7" t="n">
        <v>1</v>
      </c>
      <c r="C15" s="64" t="n">
        <v>5000</v>
      </c>
      <c r="D15" s="64" t="n">
        <f aca="false">SUM(B15*C15)</f>
        <v>5000</v>
      </c>
      <c r="E15" s="7" t="n">
        <v>38709.2</v>
      </c>
      <c r="F15" s="65" t="n">
        <f aca="false">SUM(E15/330)</f>
        <v>117.300606060606</v>
      </c>
      <c r="G15" s="65" t="n">
        <f aca="false">SUM(B15*0.7/E15*F15)</f>
        <v>0.00212121212121212</v>
      </c>
      <c r="H15" s="10" t="n">
        <f aca="false">SUM(C15*G15)</f>
        <v>10.6060606060606</v>
      </c>
    </row>
    <row r="16" customFormat="false" ht="15.75" hidden="false" customHeight="false" outlineLevel="0" collapsed="false">
      <c r="A16" s="4" t="s">
        <v>110</v>
      </c>
      <c r="B16" s="7" t="n">
        <v>1</v>
      </c>
      <c r="C16" s="64" t="n">
        <v>3562</v>
      </c>
      <c r="D16" s="64" t="n">
        <f aca="false">SUM(B16*C16)</f>
        <v>3562</v>
      </c>
      <c r="E16" s="7" t="n">
        <v>38709.2</v>
      </c>
      <c r="F16" s="65" t="n">
        <f aca="false">SUM(E16/330)</f>
        <v>117.300606060606</v>
      </c>
      <c r="G16" s="65" t="n">
        <f aca="false">SUM(B16*0.7/E16*F16)</f>
        <v>0.00212121212121212</v>
      </c>
      <c r="H16" s="10" t="n">
        <f aca="false">SUM(C16*G16)</f>
        <v>7.55575757575758</v>
      </c>
    </row>
    <row r="17" customFormat="false" ht="15.75" hidden="false" customHeight="false" outlineLevel="0" collapsed="false">
      <c r="A17" s="4" t="s">
        <v>111</v>
      </c>
      <c r="B17" s="7" t="n">
        <v>1</v>
      </c>
      <c r="C17" s="64" t="n">
        <v>218691.7</v>
      </c>
      <c r="D17" s="64" t="n">
        <f aca="false">SUM(B17*C17)</f>
        <v>218691.7</v>
      </c>
      <c r="E17" s="7" t="n">
        <v>38709.2</v>
      </c>
      <c r="F17" s="65" t="n">
        <f aca="false">SUM(E17/330)</f>
        <v>117.300606060606</v>
      </c>
      <c r="G17" s="65" t="n">
        <f aca="false">SUM(B17*0.7/E17*F17)</f>
        <v>0.00212121212121212</v>
      </c>
      <c r="H17" s="10" t="n">
        <f aca="false">SUM(C17*G17)</f>
        <v>463.891484848485</v>
      </c>
    </row>
    <row r="18" customFormat="false" ht="15.75" hidden="false" customHeight="true" outlineLevel="0" collapsed="false">
      <c r="A18" s="66" t="s">
        <v>112</v>
      </c>
      <c r="B18" s="66"/>
      <c r="C18" s="66"/>
      <c r="D18" s="66"/>
      <c r="E18" s="66"/>
      <c r="F18" s="66"/>
      <c r="G18" s="66"/>
      <c r="H18" s="48" t="n">
        <f aca="false">SUM(H4:H17)</f>
        <v>1132.83693939394</v>
      </c>
    </row>
    <row r="19" customFormat="false" ht="15.75" hidden="false" customHeight="true" outlineLevel="0" collapsed="false">
      <c r="A19" s="30" t="s">
        <v>73</v>
      </c>
      <c r="B19" s="30"/>
      <c r="C19" s="30"/>
      <c r="D19" s="30"/>
      <c r="E19" s="30"/>
      <c r="F19" s="30"/>
      <c r="G19" s="30"/>
      <c r="H19" s="30"/>
    </row>
    <row r="20" customFormat="false" ht="31.5" hidden="false" customHeight="true" outlineLevel="0" collapsed="false">
      <c r="A20" s="30"/>
      <c r="B20" s="30"/>
      <c r="C20" s="30"/>
      <c r="D20" s="30"/>
      <c r="E20" s="30"/>
      <c r="F20" s="30"/>
      <c r="G20" s="30"/>
      <c r="H20" s="30"/>
      <c r="I20" s="63"/>
      <c r="J20" s="63"/>
      <c r="K20" s="63"/>
      <c r="L20" s="63"/>
      <c r="M20" s="63"/>
      <c r="N20" s="63"/>
    </row>
    <row r="21" customFormat="false" ht="15.75" hidden="false" customHeight="false" outlineLevel="0" collapsed="false">
      <c r="A21" s="7" t="s">
        <v>98</v>
      </c>
      <c r="B21" s="7" t="n">
        <v>5</v>
      </c>
      <c r="C21" s="64" t="n">
        <v>850</v>
      </c>
      <c r="D21" s="64" t="n">
        <f aca="false">SUM(B21*C21)</f>
        <v>4250</v>
      </c>
      <c r="E21" s="7" t="n">
        <v>38709.2</v>
      </c>
      <c r="F21" s="7" t="n">
        <f aca="false">SUM(E21/37)</f>
        <v>1046.19459459459</v>
      </c>
      <c r="G21" s="65" t="n">
        <f aca="false">SUM(B21*0.08/E21*F21)</f>
        <v>0.0108108108108108</v>
      </c>
      <c r="H21" s="10" t="n">
        <f aca="false">SUM(C21*G21)</f>
        <v>9.18918918918919</v>
      </c>
    </row>
    <row r="22" customFormat="false" ht="47.25" hidden="false" customHeight="false" outlineLevel="0" collapsed="false">
      <c r="A22" s="4" t="s">
        <v>99</v>
      </c>
      <c r="B22" s="7" t="n">
        <v>12</v>
      </c>
      <c r="C22" s="64" t="n">
        <v>14400</v>
      </c>
      <c r="D22" s="64" t="n">
        <f aca="false">SUM(B22*C22)</f>
        <v>172800</v>
      </c>
      <c r="E22" s="7" t="n">
        <v>38709.2</v>
      </c>
      <c r="F22" s="7" t="n">
        <f aca="false">SUM(E22/37)</f>
        <v>1046.19459459459</v>
      </c>
      <c r="G22" s="65" t="n">
        <f aca="false">SUM(B22*0.08/E22*F22)</f>
        <v>0.0259459459459459</v>
      </c>
      <c r="H22" s="10" t="n">
        <f aca="false">SUM(C22*G22)</f>
        <v>373.621621621622</v>
      </c>
    </row>
    <row r="23" customFormat="false" ht="15.75" hidden="false" customHeight="false" outlineLevel="0" collapsed="false">
      <c r="A23" s="7" t="s">
        <v>100</v>
      </c>
      <c r="B23" s="7" t="n">
        <v>4</v>
      </c>
      <c r="C23" s="64" t="n">
        <v>2687</v>
      </c>
      <c r="D23" s="64" t="n">
        <f aca="false">SUM(B23*C23)</f>
        <v>10748</v>
      </c>
      <c r="E23" s="7" t="n">
        <v>38709.2</v>
      </c>
      <c r="F23" s="7" t="n">
        <f aca="false">SUM(E23/37)</f>
        <v>1046.19459459459</v>
      </c>
      <c r="G23" s="65" t="n">
        <f aca="false">SUM(B23*0.08/E23*F23)</f>
        <v>0.00864864864864865</v>
      </c>
      <c r="H23" s="10" t="n">
        <f aca="false">SUM(C23*G23)</f>
        <v>23.2389189189189</v>
      </c>
    </row>
    <row r="24" customFormat="false" ht="15" hidden="false" customHeight="false" outlineLevel="0" collapsed="false">
      <c r="A24" s="7" t="s">
        <v>101</v>
      </c>
      <c r="B24" s="7"/>
      <c r="C24" s="64" t="n">
        <v>1135</v>
      </c>
      <c r="D24" s="64" t="n">
        <f aca="false">SUM(B24*C24)</f>
        <v>0</v>
      </c>
      <c r="E24" s="7" t="n">
        <v>38709.2</v>
      </c>
      <c r="F24" s="7" t="n">
        <f aca="false">SUM(E24/37)</f>
        <v>1046.19459459459</v>
      </c>
      <c r="G24" s="65" t="n">
        <f aca="false">SUM(B24*0.08/E24*F24)</f>
        <v>0</v>
      </c>
      <c r="H24" s="10" t="n">
        <f aca="false">SUM(C24*G24)</f>
        <v>0</v>
      </c>
    </row>
    <row r="25" customFormat="false" ht="15.75" hidden="false" customHeight="false" outlineLevel="0" collapsed="false">
      <c r="A25" s="7" t="s">
        <v>102</v>
      </c>
      <c r="B25" s="7" t="n">
        <v>12</v>
      </c>
      <c r="C25" s="64" t="n">
        <v>800</v>
      </c>
      <c r="D25" s="64" t="n">
        <f aca="false">SUM(B25*C25)</f>
        <v>9600</v>
      </c>
      <c r="E25" s="7" t="n">
        <v>38709.2</v>
      </c>
      <c r="F25" s="7" t="n">
        <f aca="false">SUM(E25/37)</f>
        <v>1046.19459459459</v>
      </c>
      <c r="G25" s="65" t="n">
        <f aca="false">SUM(B25*0.08/E25*F25)</f>
        <v>0.0259459459459459</v>
      </c>
      <c r="H25" s="10" t="n">
        <f aca="false">SUM(C25*G25)</f>
        <v>20.7567567567568</v>
      </c>
    </row>
    <row r="26" customFormat="false" ht="15" hidden="false" customHeight="false" outlineLevel="0" collapsed="false">
      <c r="A26" s="4" t="s">
        <v>103</v>
      </c>
      <c r="B26" s="7"/>
      <c r="C26" s="64" t="n">
        <v>20000</v>
      </c>
      <c r="D26" s="64" t="n">
        <f aca="false">SUM(B26*C26)</f>
        <v>0</v>
      </c>
      <c r="E26" s="7" t="n">
        <v>38709.2</v>
      </c>
      <c r="F26" s="7" t="n">
        <f aca="false">SUM(E26/37)</f>
        <v>1046.19459459459</v>
      </c>
      <c r="G26" s="65" t="n">
        <f aca="false">SUM(B26*0.08/E26*F26)</f>
        <v>0</v>
      </c>
      <c r="H26" s="10" t="n">
        <f aca="false">SUM(C26*G26)</f>
        <v>0</v>
      </c>
    </row>
    <row r="27" customFormat="false" ht="26.85" hidden="false" customHeight="false" outlineLevel="0" collapsed="false">
      <c r="A27" s="4" t="s">
        <v>104</v>
      </c>
      <c r="B27" s="7"/>
      <c r="C27" s="64" t="n">
        <v>12000</v>
      </c>
      <c r="D27" s="64" t="n">
        <f aca="false">SUM(B27*C27)</f>
        <v>0</v>
      </c>
      <c r="E27" s="7" t="n">
        <v>38709.2</v>
      </c>
      <c r="F27" s="7" t="n">
        <f aca="false">SUM(E27/37)</f>
        <v>1046.19459459459</v>
      </c>
      <c r="G27" s="65" t="n">
        <f aca="false">SUM(B27*0.08/E27*F27)</f>
        <v>0</v>
      </c>
      <c r="H27" s="10" t="n">
        <f aca="false">SUM(C27*G27)</f>
        <v>0</v>
      </c>
    </row>
    <row r="28" customFormat="false" ht="31.5" hidden="false" customHeight="false" outlineLevel="0" collapsed="false">
      <c r="A28" s="4" t="s">
        <v>105</v>
      </c>
      <c r="B28" s="7" t="n">
        <v>1</v>
      </c>
      <c r="C28" s="64" t="n">
        <v>3400</v>
      </c>
      <c r="D28" s="64" t="n">
        <f aca="false">SUM(B28*C28)</f>
        <v>3400</v>
      </c>
      <c r="E28" s="7" t="n">
        <v>38709.2</v>
      </c>
      <c r="F28" s="7" t="n">
        <f aca="false">SUM(E28/37)</f>
        <v>1046.19459459459</v>
      </c>
      <c r="G28" s="65" t="n">
        <f aca="false">SUM(B28*0.08/E28*F28)</f>
        <v>0.00216216216216216</v>
      </c>
      <c r="H28" s="10" t="n">
        <f aca="false">SUM(C28*G28)</f>
        <v>7.35135135135135</v>
      </c>
    </row>
    <row r="29" customFormat="false" ht="31.5" hidden="false" customHeight="false" outlineLevel="0" collapsed="false">
      <c r="A29" s="4" t="s">
        <v>106</v>
      </c>
      <c r="B29" s="7" t="n">
        <v>1</v>
      </c>
      <c r="C29" s="64" t="n">
        <v>33000</v>
      </c>
      <c r="D29" s="64" t="n">
        <f aca="false">SUM(B29*C29)</f>
        <v>33000</v>
      </c>
      <c r="E29" s="7" t="n">
        <v>38709.2</v>
      </c>
      <c r="F29" s="7" t="n">
        <f aca="false">SUM(E29/37)</f>
        <v>1046.19459459459</v>
      </c>
      <c r="G29" s="65" t="n">
        <f aca="false">SUM(B29*0.08/E29*F29)</f>
        <v>0.00216216216216216</v>
      </c>
      <c r="H29" s="10" t="n">
        <f aca="false">SUM(C29*G29)</f>
        <v>71.3513513513513</v>
      </c>
    </row>
    <row r="30" customFormat="false" ht="31.5" hidden="false" customHeight="false" outlineLevel="0" collapsed="false">
      <c r="A30" s="4" t="s">
        <v>107</v>
      </c>
      <c r="B30" s="7" t="n">
        <v>1</v>
      </c>
      <c r="C30" s="64" t="n">
        <v>21000</v>
      </c>
      <c r="D30" s="64" t="n">
        <f aca="false">SUM(B30*C30)</f>
        <v>21000</v>
      </c>
      <c r="E30" s="7" t="n">
        <v>38709.2</v>
      </c>
      <c r="F30" s="7" t="n">
        <f aca="false">SUM(E30/37)</f>
        <v>1046.19459459459</v>
      </c>
      <c r="G30" s="65" t="n">
        <f aca="false">SUM(B30*0.08/E30*F30)</f>
        <v>0.00216216216216216</v>
      </c>
      <c r="H30" s="10" t="n">
        <f aca="false">SUM(C30*G30)</f>
        <v>45.4054054054054</v>
      </c>
    </row>
    <row r="31" customFormat="false" ht="31.5" hidden="false" customHeight="false" outlineLevel="0" collapsed="false">
      <c r="A31" s="4" t="s">
        <v>108</v>
      </c>
      <c r="B31" s="7" t="n">
        <v>65</v>
      </c>
      <c r="C31" s="64" t="n">
        <v>800</v>
      </c>
      <c r="D31" s="64" t="n">
        <f aca="false">SUM(B31*C31)</f>
        <v>52000</v>
      </c>
      <c r="E31" s="7" t="n">
        <v>38709.2</v>
      </c>
      <c r="F31" s="7" t="n">
        <f aca="false">SUM(E31/37)</f>
        <v>1046.19459459459</v>
      </c>
      <c r="G31" s="65" t="n">
        <f aca="false">SUM(B31*0.08/E31*F31)</f>
        <v>0.140540540540541</v>
      </c>
      <c r="H31" s="10" t="n">
        <f aca="false">SUM(C31*G31)</f>
        <v>112.432432432432</v>
      </c>
    </row>
    <row r="32" customFormat="false" ht="31.5" hidden="false" customHeight="false" outlineLevel="0" collapsed="false">
      <c r="A32" s="4" t="s">
        <v>109</v>
      </c>
      <c r="B32" s="7" t="n">
        <v>1</v>
      </c>
      <c r="C32" s="64" t="n">
        <v>5000</v>
      </c>
      <c r="D32" s="64" t="n">
        <f aca="false">SUM(B32*C32)</f>
        <v>5000</v>
      </c>
      <c r="E32" s="7" t="n">
        <v>38709.2</v>
      </c>
      <c r="F32" s="7" t="n">
        <f aca="false">SUM(E32/37)</f>
        <v>1046.19459459459</v>
      </c>
      <c r="G32" s="65" t="n">
        <f aca="false">SUM(B32*0.08/E32*F32)</f>
        <v>0.00216216216216216</v>
      </c>
      <c r="H32" s="10" t="n">
        <f aca="false">SUM(C32*G32)</f>
        <v>10.8108108108108</v>
      </c>
    </row>
    <row r="33" customFormat="false" ht="15.75" hidden="false" customHeight="false" outlineLevel="0" collapsed="false">
      <c r="A33" s="4" t="s">
        <v>110</v>
      </c>
      <c r="B33" s="7" t="n">
        <v>1</v>
      </c>
      <c r="C33" s="64" t="n">
        <v>3562</v>
      </c>
      <c r="D33" s="64" t="n">
        <f aca="false">SUM(B33*C33)</f>
        <v>3562</v>
      </c>
      <c r="E33" s="7" t="n">
        <v>38709.2</v>
      </c>
      <c r="F33" s="7" t="n">
        <f aca="false">SUM(E33/37)</f>
        <v>1046.19459459459</v>
      </c>
      <c r="G33" s="65" t="n">
        <f aca="false">SUM(B33*0.08/E33*F33)</f>
        <v>0.00216216216216216</v>
      </c>
      <c r="H33" s="10" t="n">
        <f aca="false">SUM(C33*G33)</f>
        <v>7.70162162162162</v>
      </c>
    </row>
    <row r="34" customFormat="false" ht="15.75" hidden="false" customHeight="false" outlineLevel="0" collapsed="false">
      <c r="A34" s="4" t="s">
        <v>111</v>
      </c>
      <c r="B34" s="7" t="n">
        <v>1</v>
      </c>
      <c r="C34" s="64" t="n">
        <v>218691.7</v>
      </c>
      <c r="D34" s="64" t="n">
        <f aca="false">SUM(B34*C34)</f>
        <v>218691.7</v>
      </c>
      <c r="E34" s="7" t="n">
        <v>38709.2</v>
      </c>
      <c r="F34" s="7" t="n">
        <f aca="false">SUM(E34/37)</f>
        <v>1046.19459459459</v>
      </c>
      <c r="G34" s="65" t="n">
        <f aca="false">SUM(B34*0.08/E34*F34)</f>
        <v>0.00216216216216216</v>
      </c>
      <c r="H34" s="10" t="n">
        <f aca="false">SUM(C34*G34)</f>
        <v>472.846918918919</v>
      </c>
    </row>
    <row r="35" customFormat="false" ht="15.75" hidden="false" customHeight="true" outlineLevel="0" collapsed="false">
      <c r="A35" s="66" t="s">
        <v>112</v>
      </c>
      <c r="B35" s="66"/>
      <c r="C35" s="66"/>
      <c r="D35" s="66"/>
      <c r="E35" s="66"/>
      <c r="F35" s="66"/>
      <c r="G35" s="66"/>
      <c r="H35" s="48" t="n">
        <f aca="false">SUM(H21:H34)</f>
        <v>1154.70637837838</v>
      </c>
    </row>
    <row r="36" customFormat="false" ht="15.75" hidden="false" customHeight="false" outlineLevel="0" collapsed="false">
      <c r="A36" s="7"/>
      <c r="B36" s="7"/>
      <c r="C36" s="7"/>
      <c r="D36" s="7"/>
      <c r="E36" s="7"/>
      <c r="F36" s="7"/>
      <c r="G36" s="7"/>
      <c r="H36" s="10"/>
    </row>
    <row r="37" customFormat="false" ht="33" hidden="false" customHeight="true" outlineLevel="0" collapsed="false">
      <c r="A37" s="30" t="s">
        <v>74</v>
      </c>
      <c r="B37" s="30"/>
      <c r="C37" s="30"/>
      <c r="D37" s="30"/>
      <c r="E37" s="30"/>
      <c r="F37" s="30"/>
      <c r="G37" s="30"/>
      <c r="H37" s="30"/>
      <c r="I37" s="63"/>
      <c r="J37" s="63"/>
      <c r="K37" s="63"/>
      <c r="L37" s="63"/>
      <c r="M37" s="63"/>
      <c r="N37" s="63"/>
    </row>
    <row r="38" customFormat="false" ht="15.75" hidden="false" customHeight="false" outlineLevel="0" collapsed="false">
      <c r="A38" s="7" t="s">
        <v>98</v>
      </c>
      <c r="B38" s="7" t="n">
        <v>5</v>
      </c>
      <c r="C38" s="64" t="n">
        <v>850</v>
      </c>
      <c r="D38" s="64" t="n">
        <f aca="false">SUM(B38*C38)</f>
        <v>4250</v>
      </c>
      <c r="E38" s="7" t="n">
        <v>38709.2</v>
      </c>
      <c r="F38" s="7" t="n">
        <f aca="false">SUM(E38/24)</f>
        <v>1612.88333333333</v>
      </c>
      <c r="G38" s="65" t="n">
        <f aca="false">SUM(B38*0.05/E38*F38)</f>
        <v>0.0104166666666667</v>
      </c>
      <c r="H38" s="10" t="n">
        <f aca="false">SUM(C38*G38)</f>
        <v>8.85416666666667</v>
      </c>
    </row>
    <row r="39" customFormat="false" ht="47.25" hidden="false" customHeight="false" outlineLevel="0" collapsed="false">
      <c r="A39" s="4" t="s">
        <v>99</v>
      </c>
      <c r="B39" s="7" t="n">
        <v>12</v>
      </c>
      <c r="C39" s="64" t="n">
        <v>14400</v>
      </c>
      <c r="D39" s="64" t="n">
        <f aca="false">SUM(B39*C39)</f>
        <v>172800</v>
      </c>
      <c r="E39" s="7" t="n">
        <v>38709.2</v>
      </c>
      <c r="F39" s="7" t="n">
        <f aca="false">SUM(E39/24)</f>
        <v>1612.88333333333</v>
      </c>
      <c r="G39" s="65" t="n">
        <f aca="false">SUM(B39*0.05/E39*F39)</f>
        <v>0.025</v>
      </c>
      <c r="H39" s="10" t="n">
        <f aca="false">SUM(C39*G39)</f>
        <v>360</v>
      </c>
    </row>
    <row r="40" customFormat="false" ht="15.75" hidden="false" customHeight="false" outlineLevel="0" collapsed="false">
      <c r="A40" s="7" t="s">
        <v>100</v>
      </c>
      <c r="B40" s="7" t="n">
        <v>4</v>
      </c>
      <c r="C40" s="64" t="n">
        <v>2687</v>
      </c>
      <c r="D40" s="64" t="n">
        <f aca="false">SUM(B40*C40)</f>
        <v>10748</v>
      </c>
      <c r="E40" s="7" t="n">
        <v>38709.2</v>
      </c>
      <c r="F40" s="7" t="n">
        <f aca="false">SUM(E40/24)</f>
        <v>1612.88333333333</v>
      </c>
      <c r="G40" s="65" t="n">
        <f aca="false">SUM(B40*0.05/E40*F40)</f>
        <v>0.00833333333333333</v>
      </c>
      <c r="H40" s="10" t="n">
        <f aca="false">SUM(C40*G40)</f>
        <v>22.3916666666667</v>
      </c>
    </row>
    <row r="41" customFormat="false" ht="15" hidden="false" customHeight="false" outlineLevel="0" collapsed="false">
      <c r="A41" s="7" t="s">
        <v>101</v>
      </c>
      <c r="B41" s="7"/>
      <c r="C41" s="64" t="n">
        <v>1135</v>
      </c>
      <c r="D41" s="64" t="n">
        <f aca="false">SUM(B41*C41)</f>
        <v>0</v>
      </c>
      <c r="E41" s="7" t="n">
        <v>38709.2</v>
      </c>
      <c r="F41" s="7" t="n">
        <f aca="false">SUM(E41/24)</f>
        <v>1612.88333333333</v>
      </c>
      <c r="G41" s="65" t="n">
        <f aca="false">SUM(B41*0.05/E41*F41)</f>
        <v>0</v>
      </c>
      <c r="H41" s="10" t="n">
        <f aca="false">SUM(C41*G41)</f>
        <v>0</v>
      </c>
    </row>
    <row r="42" customFormat="false" ht="15.75" hidden="false" customHeight="false" outlineLevel="0" collapsed="false">
      <c r="A42" s="7" t="s">
        <v>102</v>
      </c>
      <c r="B42" s="7" t="n">
        <v>12</v>
      </c>
      <c r="C42" s="64" t="n">
        <v>800</v>
      </c>
      <c r="D42" s="64" t="n">
        <f aca="false">SUM(B42*C42)</f>
        <v>9600</v>
      </c>
      <c r="E42" s="7" t="n">
        <v>38709.2</v>
      </c>
      <c r="F42" s="7" t="n">
        <f aca="false">SUM(E42/24)</f>
        <v>1612.88333333333</v>
      </c>
      <c r="G42" s="65" t="n">
        <f aca="false">SUM(B42*0.05/E42*F42)</f>
        <v>0.025</v>
      </c>
      <c r="H42" s="10" t="n">
        <f aca="false">SUM(C42*G42)</f>
        <v>20</v>
      </c>
    </row>
    <row r="43" customFormat="false" ht="15" hidden="false" customHeight="false" outlineLevel="0" collapsed="false">
      <c r="A43" s="4" t="s">
        <v>103</v>
      </c>
      <c r="B43" s="7"/>
      <c r="C43" s="64" t="n">
        <v>20000</v>
      </c>
      <c r="D43" s="64" t="n">
        <f aca="false">SUM(B43*C43)</f>
        <v>0</v>
      </c>
      <c r="E43" s="7" t="n">
        <v>38709.2</v>
      </c>
      <c r="F43" s="7" t="n">
        <f aca="false">SUM(E43/24)</f>
        <v>1612.88333333333</v>
      </c>
      <c r="G43" s="65" t="n">
        <f aca="false">SUM(B43*0.05/E43*F43)</f>
        <v>0</v>
      </c>
      <c r="H43" s="10" t="n">
        <f aca="false">SUM(C43*G43)</f>
        <v>0</v>
      </c>
    </row>
    <row r="44" customFormat="false" ht="26.85" hidden="false" customHeight="false" outlineLevel="0" collapsed="false">
      <c r="A44" s="4" t="s">
        <v>104</v>
      </c>
      <c r="B44" s="7"/>
      <c r="C44" s="64" t="n">
        <v>12000</v>
      </c>
      <c r="D44" s="64" t="n">
        <f aca="false">SUM(B44*C44)</f>
        <v>0</v>
      </c>
      <c r="E44" s="7" t="n">
        <v>38709.2</v>
      </c>
      <c r="F44" s="7" t="n">
        <f aca="false">SUM(E44/24)</f>
        <v>1612.88333333333</v>
      </c>
      <c r="G44" s="65" t="n">
        <f aca="false">SUM(B44*0.05/E44*F44)</f>
        <v>0</v>
      </c>
      <c r="H44" s="10" t="n">
        <f aca="false">SUM(C44*G44)</f>
        <v>0</v>
      </c>
    </row>
    <row r="45" customFormat="false" ht="31.5" hidden="false" customHeight="false" outlineLevel="0" collapsed="false">
      <c r="A45" s="4" t="s">
        <v>105</v>
      </c>
      <c r="B45" s="7" t="n">
        <v>1</v>
      </c>
      <c r="C45" s="64" t="n">
        <v>3400</v>
      </c>
      <c r="D45" s="64" t="n">
        <f aca="false">SUM(B45*C45)</f>
        <v>3400</v>
      </c>
      <c r="E45" s="7" t="n">
        <v>38709.2</v>
      </c>
      <c r="F45" s="7" t="n">
        <f aca="false">SUM(E45/24)</f>
        <v>1612.88333333333</v>
      </c>
      <c r="G45" s="65" t="n">
        <f aca="false">SUM(B45*0.05/E45*F45)</f>
        <v>0.00208333333333333</v>
      </c>
      <c r="H45" s="10" t="n">
        <f aca="false">SUM(C45*G45)</f>
        <v>7.08333333333333</v>
      </c>
    </row>
    <row r="46" customFormat="false" ht="31.5" hidden="false" customHeight="false" outlineLevel="0" collapsed="false">
      <c r="A46" s="4" t="s">
        <v>106</v>
      </c>
      <c r="B46" s="7" t="n">
        <v>1</v>
      </c>
      <c r="C46" s="64" t="n">
        <v>33000</v>
      </c>
      <c r="D46" s="64" t="n">
        <f aca="false">SUM(B46*C46)</f>
        <v>33000</v>
      </c>
      <c r="E46" s="7" t="n">
        <v>38709.2</v>
      </c>
      <c r="F46" s="7" t="n">
        <f aca="false">SUM(E46/24)</f>
        <v>1612.88333333333</v>
      </c>
      <c r="G46" s="65" t="n">
        <f aca="false">SUM(B46*0.05/E46*F46)</f>
        <v>0.00208333333333333</v>
      </c>
      <c r="H46" s="10" t="n">
        <f aca="false">SUM(C46*G46)</f>
        <v>68.75</v>
      </c>
    </row>
    <row r="47" customFormat="false" ht="31.5" hidden="false" customHeight="false" outlineLevel="0" collapsed="false">
      <c r="A47" s="4" t="s">
        <v>107</v>
      </c>
      <c r="B47" s="7" t="n">
        <v>1</v>
      </c>
      <c r="C47" s="64" t="n">
        <v>21000</v>
      </c>
      <c r="D47" s="64" t="n">
        <f aca="false">SUM(B47*C47)</f>
        <v>21000</v>
      </c>
      <c r="E47" s="7" t="n">
        <v>38709.2</v>
      </c>
      <c r="F47" s="7" t="n">
        <f aca="false">SUM(E47/24)</f>
        <v>1612.88333333333</v>
      </c>
      <c r="G47" s="65" t="n">
        <f aca="false">SUM(B47*0.05/E47*F47)</f>
        <v>0.00208333333333333</v>
      </c>
      <c r="H47" s="10" t="n">
        <f aca="false">SUM(C47*G47)</f>
        <v>43.75</v>
      </c>
    </row>
    <row r="48" customFormat="false" ht="31.5" hidden="false" customHeight="false" outlineLevel="0" collapsed="false">
      <c r="A48" s="4" t="s">
        <v>108</v>
      </c>
      <c r="B48" s="7" t="n">
        <v>65</v>
      </c>
      <c r="C48" s="64" t="n">
        <v>800</v>
      </c>
      <c r="D48" s="64" t="n">
        <f aca="false">SUM(B48*C48)</f>
        <v>52000</v>
      </c>
      <c r="E48" s="7" t="n">
        <v>38709.2</v>
      </c>
      <c r="F48" s="7" t="n">
        <f aca="false">SUM(E48/24)</f>
        <v>1612.88333333333</v>
      </c>
      <c r="G48" s="65" t="n">
        <f aca="false">SUM(B48*0.05/E48*F48)</f>
        <v>0.135416666666667</v>
      </c>
      <c r="H48" s="10" t="n">
        <f aca="false">SUM(C48*G48)</f>
        <v>108.333333333333</v>
      </c>
    </row>
    <row r="49" customFormat="false" ht="31.5" hidden="false" customHeight="false" outlineLevel="0" collapsed="false">
      <c r="A49" s="4" t="s">
        <v>109</v>
      </c>
      <c r="B49" s="7" t="n">
        <v>1</v>
      </c>
      <c r="C49" s="64" t="n">
        <v>5000</v>
      </c>
      <c r="D49" s="64" t="n">
        <f aca="false">SUM(B49*C49)</f>
        <v>5000</v>
      </c>
      <c r="E49" s="7" t="n">
        <v>38709.2</v>
      </c>
      <c r="F49" s="7" t="n">
        <f aca="false">SUM(E49/24)</f>
        <v>1612.88333333333</v>
      </c>
      <c r="G49" s="65" t="n">
        <f aca="false">SUM(B49*0.05/E49*F49)</f>
        <v>0.00208333333333333</v>
      </c>
      <c r="H49" s="10" t="n">
        <f aca="false">SUM(C49*G49)</f>
        <v>10.4166666666667</v>
      </c>
    </row>
    <row r="50" customFormat="false" ht="15.75" hidden="false" customHeight="false" outlineLevel="0" collapsed="false">
      <c r="A50" s="4" t="s">
        <v>110</v>
      </c>
      <c r="B50" s="7" t="n">
        <v>1</v>
      </c>
      <c r="C50" s="64" t="n">
        <v>3562</v>
      </c>
      <c r="D50" s="64" t="n">
        <f aca="false">SUM(B50*C50)</f>
        <v>3562</v>
      </c>
      <c r="E50" s="7" t="n">
        <v>38709.2</v>
      </c>
      <c r="F50" s="7" t="n">
        <f aca="false">SUM(E50/24)</f>
        <v>1612.88333333333</v>
      </c>
      <c r="G50" s="65" t="n">
        <f aca="false">SUM(B50*0.05/E50*F50)</f>
        <v>0.00208333333333333</v>
      </c>
      <c r="H50" s="10" t="n">
        <f aca="false">SUM(C50*G50)</f>
        <v>7.42083333333333</v>
      </c>
    </row>
    <row r="51" customFormat="false" ht="15.75" hidden="false" customHeight="false" outlineLevel="0" collapsed="false">
      <c r="A51" s="4" t="s">
        <v>111</v>
      </c>
      <c r="B51" s="7" t="n">
        <v>1</v>
      </c>
      <c r="C51" s="64" t="n">
        <v>218691.7</v>
      </c>
      <c r="D51" s="64" t="n">
        <f aca="false">SUM(B51*C51)</f>
        <v>218691.7</v>
      </c>
      <c r="E51" s="7" t="n">
        <v>38709.2</v>
      </c>
      <c r="F51" s="7" t="n">
        <f aca="false">SUM(E51/24)</f>
        <v>1612.88333333333</v>
      </c>
      <c r="G51" s="65" t="n">
        <f aca="false">SUM(B51*0.05/E51*F51)</f>
        <v>0.00208333333333333</v>
      </c>
      <c r="H51" s="10" t="n">
        <f aca="false">SUM(C51*G51)</f>
        <v>455.607708333333</v>
      </c>
    </row>
    <row r="52" customFormat="false" ht="15.75" hidden="false" customHeight="true" outlineLevel="0" collapsed="false">
      <c r="A52" s="66" t="s">
        <v>112</v>
      </c>
      <c r="B52" s="66"/>
      <c r="C52" s="66"/>
      <c r="D52" s="66"/>
      <c r="E52" s="66"/>
      <c r="F52" s="66"/>
      <c r="G52" s="66"/>
      <c r="H52" s="48" t="n">
        <f aca="false">SUM(H38:H51)</f>
        <v>1112.60770833333</v>
      </c>
    </row>
    <row r="53" customFormat="false" ht="15.75" hidden="false" customHeight="true" outlineLevel="0" collapsed="false">
      <c r="A53" s="30" t="s">
        <v>75</v>
      </c>
      <c r="B53" s="30"/>
      <c r="C53" s="30"/>
      <c r="D53" s="30"/>
      <c r="E53" s="30"/>
      <c r="F53" s="30"/>
      <c r="G53" s="30"/>
      <c r="H53" s="30"/>
    </row>
    <row r="54" customFormat="false" ht="15.75" hidden="false" customHeight="false" outlineLevel="0" collapsed="false">
      <c r="A54" s="30"/>
      <c r="B54" s="30"/>
      <c r="C54" s="30"/>
      <c r="D54" s="30"/>
      <c r="E54" s="30"/>
      <c r="F54" s="30"/>
      <c r="G54" s="30"/>
      <c r="H54" s="30"/>
      <c r="I54" s="63"/>
      <c r="J54" s="63"/>
      <c r="K54" s="63"/>
      <c r="L54" s="63"/>
      <c r="M54" s="63"/>
      <c r="N54" s="63"/>
    </row>
    <row r="55" customFormat="false" ht="15.75" hidden="false" customHeight="false" outlineLevel="0" collapsed="false">
      <c r="A55" s="7" t="s">
        <v>98</v>
      </c>
      <c r="B55" s="7" t="n">
        <v>5</v>
      </c>
      <c r="C55" s="64" t="n">
        <v>850</v>
      </c>
      <c r="D55" s="64" t="n">
        <f aca="false">SUM(B55*C55)</f>
        <v>4250</v>
      </c>
      <c r="E55" s="7" t="n">
        <v>38709.2</v>
      </c>
      <c r="F55" s="7" t="n">
        <f aca="false">SUM(E55/57)</f>
        <v>679.108771929824</v>
      </c>
      <c r="G55" s="65" t="n">
        <f aca="false">SUM(B55*0.12/E55*F55)</f>
        <v>0.0105263157894737</v>
      </c>
      <c r="H55" s="10" t="n">
        <f aca="false">SUM(C55*G55)</f>
        <v>8.94736842105263</v>
      </c>
    </row>
    <row r="56" customFormat="false" ht="47.25" hidden="false" customHeight="false" outlineLevel="0" collapsed="false">
      <c r="A56" s="4" t="s">
        <v>99</v>
      </c>
      <c r="B56" s="7" t="n">
        <v>12</v>
      </c>
      <c r="C56" s="64" t="n">
        <v>14400</v>
      </c>
      <c r="D56" s="64" t="n">
        <f aca="false">SUM(B56*C56)</f>
        <v>172800</v>
      </c>
      <c r="E56" s="7" t="n">
        <v>38709.2</v>
      </c>
      <c r="F56" s="7" t="n">
        <f aca="false">SUM(E56/57)</f>
        <v>679.108771929824</v>
      </c>
      <c r="G56" s="65" t="n">
        <f aca="false">SUM(B56*0.12/E56*F56)</f>
        <v>0.0252631578947368</v>
      </c>
      <c r="H56" s="10" t="n">
        <f aca="false">SUM(C56*G56)</f>
        <v>363.78947368421</v>
      </c>
    </row>
    <row r="57" customFormat="false" ht="15.75" hidden="false" customHeight="false" outlineLevel="0" collapsed="false">
      <c r="A57" s="7" t="s">
        <v>100</v>
      </c>
      <c r="B57" s="7" t="n">
        <v>4</v>
      </c>
      <c r="C57" s="64" t="n">
        <v>2687</v>
      </c>
      <c r="D57" s="64" t="n">
        <f aca="false">SUM(B57*C57)</f>
        <v>10748</v>
      </c>
      <c r="E57" s="7" t="n">
        <v>38709.2</v>
      </c>
      <c r="F57" s="7" t="n">
        <f aca="false">SUM(E57/57)</f>
        <v>679.108771929824</v>
      </c>
      <c r="G57" s="65" t="n">
        <f aca="false">SUM(B57*0.12/E57*F57)</f>
        <v>0.00842105263157895</v>
      </c>
      <c r="H57" s="10" t="n">
        <f aca="false">SUM(C57*G57)</f>
        <v>22.6273684210526</v>
      </c>
    </row>
    <row r="58" customFormat="false" ht="15" hidden="false" customHeight="false" outlineLevel="0" collapsed="false">
      <c r="A58" s="7" t="s">
        <v>101</v>
      </c>
      <c r="B58" s="7"/>
      <c r="C58" s="64" t="n">
        <v>1135</v>
      </c>
      <c r="D58" s="64" t="n">
        <f aca="false">SUM(B58*C58)</f>
        <v>0</v>
      </c>
      <c r="E58" s="7" t="n">
        <v>38709.2</v>
      </c>
      <c r="F58" s="7" t="n">
        <f aca="false">SUM(E58/57)</f>
        <v>679.108771929824</v>
      </c>
      <c r="G58" s="65" t="n">
        <f aca="false">SUM(B58*0.12/E58*F58)</f>
        <v>0</v>
      </c>
      <c r="H58" s="10" t="n">
        <f aca="false">SUM(C58*G58)</f>
        <v>0</v>
      </c>
    </row>
    <row r="59" customFormat="false" ht="15.75" hidden="false" customHeight="false" outlineLevel="0" collapsed="false">
      <c r="A59" s="7" t="s">
        <v>102</v>
      </c>
      <c r="B59" s="7" t="n">
        <v>12</v>
      </c>
      <c r="C59" s="64" t="n">
        <v>800</v>
      </c>
      <c r="D59" s="64" t="n">
        <f aca="false">SUM(B59*C59)</f>
        <v>9600</v>
      </c>
      <c r="E59" s="7" t="n">
        <v>38709.2</v>
      </c>
      <c r="F59" s="7" t="n">
        <f aca="false">SUM(E59/57)</f>
        <v>679.108771929824</v>
      </c>
      <c r="G59" s="65" t="n">
        <f aca="false">SUM(B59*0.12/E59*F59)</f>
        <v>0.0252631578947368</v>
      </c>
      <c r="H59" s="10" t="n">
        <f aca="false">SUM(C59*G59)</f>
        <v>20.2105263157895</v>
      </c>
    </row>
    <row r="60" customFormat="false" ht="15" hidden="false" customHeight="false" outlineLevel="0" collapsed="false">
      <c r="A60" s="4" t="s">
        <v>103</v>
      </c>
      <c r="B60" s="7"/>
      <c r="C60" s="64" t="n">
        <v>20000</v>
      </c>
      <c r="D60" s="64" t="n">
        <f aca="false">SUM(B60*C60)</f>
        <v>0</v>
      </c>
      <c r="E60" s="7" t="n">
        <v>38709.2</v>
      </c>
      <c r="F60" s="7" t="n">
        <f aca="false">SUM(E60/57)</f>
        <v>679.108771929824</v>
      </c>
      <c r="G60" s="65" t="n">
        <f aca="false">SUM(B60*0.12/E60*F60)</f>
        <v>0</v>
      </c>
      <c r="H60" s="10" t="n">
        <f aca="false">SUM(C60*G60)</f>
        <v>0</v>
      </c>
    </row>
    <row r="61" customFormat="false" ht="26.85" hidden="false" customHeight="false" outlineLevel="0" collapsed="false">
      <c r="A61" s="4" t="s">
        <v>104</v>
      </c>
      <c r="B61" s="7"/>
      <c r="C61" s="64" t="n">
        <v>12000</v>
      </c>
      <c r="D61" s="64" t="n">
        <f aca="false">SUM(B61*C61)</f>
        <v>0</v>
      </c>
      <c r="E61" s="7" t="n">
        <v>38709.2</v>
      </c>
      <c r="F61" s="7" t="n">
        <f aca="false">SUM(E61/57)</f>
        <v>679.108771929824</v>
      </c>
      <c r="G61" s="65" t="n">
        <f aca="false">SUM(B61*0.12/E61*F61)</f>
        <v>0</v>
      </c>
      <c r="H61" s="10" t="n">
        <f aca="false">SUM(C61*G61)</f>
        <v>0</v>
      </c>
    </row>
    <row r="62" customFormat="false" ht="31.5" hidden="false" customHeight="false" outlineLevel="0" collapsed="false">
      <c r="A62" s="4" t="s">
        <v>105</v>
      </c>
      <c r="B62" s="7" t="n">
        <v>1</v>
      </c>
      <c r="C62" s="64" t="n">
        <v>3400</v>
      </c>
      <c r="D62" s="64" t="n">
        <f aca="false">SUM(B62*C62)</f>
        <v>3400</v>
      </c>
      <c r="E62" s="7" t="n">
        <v>38709.2</v>
      </c>
      <c r="F62" s="7" t="n">
        <f aca="false">SUM(E62/57)</f>
        <v>679.108771929824</v>
      </c>
      <c r="G62" s="65" t="n">
        <f aca="false">SUM(B62*0.12/E62*F62)</f>
        <v>0.00210526315789474</v>
      </c>
      <c r="H62" s="10" t="n">
        <f aca="false">SUM(C62*G62)</f>
        <v>7.15789473684211</v>
      </c>
    </row>
    <row r="63" customFormat="false" ht="31.5" hidden="false" customHeight="false" outlineLevel="0" collapsed="false">
      <c r="A63" s="4" t="s">
        <v>106</v>
      </c>
      <c r="B63" s="7" t="n">
        <v>1</v>
      </c>
      <c r="C63" s="64" t="n">
        <v>33000</v>
      </c>
      <c r="D63" s="64" t="n">
        <f aca="false">SUM(B63*C63)</f>
        <v>33000</v>
      </c>
      <c r="E63" s="7" t="n">
        <v>38709.2</v>
      </c>
      <c r="F63" s="7" t="n">
        <f aca="false">SUM(E63/57)</f>
        <v>679.108771929824</v>
      </c>
      <c r="G63" s="65" t="n">
        <f aca="false">SUM(B63*0.12/E63*F63)</f>
        <v>0.00210526315789474</v>
      </c>
      <c r="H63" s="10" t="n">
        <f aca="false">SUM(C63*G63)</f>
        <v>69.4736842105263</v>
      </c>
    </row>
    <row r="64" customFormat="false" ht="31.5" hidden="false" customHeight="false" outlineLevel="0" collapsed="false">
      <c r="A64" s="4" t="s">
        <v>107</v>
      </c>
      <c r="B64" s="7" t="n">
        <v>1</v>
      </c>
      <c r="C64" s="64" t="n">
        <v>21000</v>
      </c>
      <c r="D64" s="64" t="n">
        <f aca="false">SUM(B64*C64)</f>
        <v>21000</v>
      </c>
      <c r="E64" s="7" t="n">
        <v>38709.2</v>
      </c>
      <c r="F64" s="7" t="n">
        <f aca="false">SUM(E64/57)</f>
        <v>679.108771929824</v>
      </c>
      <c r="G64" s="65" t="n">
        <f aca="false">SUM(B64*0.12/E64*F64)</f>
        <v>0.00210526315789474</v>
      </c>
      <c r="H64" s="10" t="n">
        <f aca="false">SUM(C64*G64)</f>
        <v>44.2105263157895</v>
      </c>
    </row>
    <row r="65" customFormat="false" ht="31.5" hidden="false" customHeight="false" outlineLevel="0" collapsed="false">
      <c r="A65" s="4" t="s">
        <v>108</v>
      </c>
      <c r="B65" s="7" t="n">
        <v>65</v>
      </c>
      <c r="C65" s="64" t="n">
        <v>800</v>
      </c>
      <c r="D65" s="64" t="n">
        <f aca="false">SUM(B65*C65)</f>
        <v>52000</v>
      </c>
      <c r="E65" s="7" t="n">
        <v>38709.2</v>
      </c>
      <c r="F65" s="7" t="n">
        <f aca="false">SUM(E65/57)</f>
        <v>679.108771929824</v>
      </c>
      <c r="G65" s="65" t="n">
        <f aca="false">SUM(B65*0.12/E65*F65)</f>
        <v>0.136842105263158</v>
      </c>
      <c r="H65" s="10" t="n">
        <f aca="false">SUM(C65*G65)</f>
        <v>109.473684210526</v>
      </c>
    </row>
    <row r="66" customFormat="false" ht="31.5" hidden="false" customHeight="false" outlineLevel="0" collapsed="false">
      <c r="A66" s="4" t="s">
        <v>109</v>
      </c>
      <c r="B66" s="7" t="n">
        <v>1</v>
      </c>
      <c r="C66" s="64" t="n">
        <v>5000</v>
      </c>
      <c r="D66" s="64" t="n">
        <f aca="false">SUM(B66*C66)</f>
        <v>5000</v>
      </c>
      <c r="E66" s="7" t="n">
        <v>38709.2</v>
      </c>
      <c r="F66" s="7" t="n">
        <f aca="false">SUM(E66/57)</f>
        <v>679.108771929824</v>
      </c>
      <c r="G66" s="65" t="n">
        <f aca="false">SUM(B66*0.12/E66*F66)</f>
        <v>0.00210526315789474</v>
      </c>
      <c r="H66" s="10" t="n">
        <f aca="false">SUM(C66*G66)</f>
        <v>10.5263157894737</v>
      </c>
    </row>
    <row r="67" customFormat="false" ht="15.75" hidden="false" customHeight="false" outlineLevel="0" collapsed="false">
      <c r="A67" s="4" t="s">
        <v>110</v>
      </c>
      <c r="B67" s="7" t="n">
        <v>1</v>
      </c>
      <c r="C67" s="64" t="n">
        <v>3562</v>
      </c>
      <c r="D67" s="64" t="n">
        <f aca="false">SUM(B67*C67)</f>
        <v>3562</v>
      </c>
      <c r="E67" s="7" t="n">
        <v>38709.2</v>
      </c>
      <c r="F67" s="7" t="n">
        <f aca="false">SUM(E67/57)</f>
        <v>679.108771929824</v>
      </c>
      <c r="G67" s="65" t="n">
        <f aca="false">SUM(B67*0.12/E67*F67)</f>
        <v>0.00210526315789474</v>
      </c>
      <c r="H67" s="10" t="n">
        <f aca="false">SUM(C67*G67)</f>
        <v>7.49894736842105</v>
      </c>
    </row>
    <row r="68" customFormat="false" ht="15.75" hidden="false" customHeight="false" outlineLevel="0" collapsed="false">
      <c r="A68" s="4" t="s">
        <v>111</v>
      </c>
      <c r="B68" s="7" t="n">
        <v>1</v>
      </c>
      <c r="C68" s="64" t="n">
        <v>218691.7</v>
      </c>
      <c r="D68" s="64" t="n">
        <f aca="false">SUM(B68*C68)</f>
        <v>218691.7</v>
      </c>
      <c r="E68" s="7" t="n">
        <v>38709.2</v>
      </c>
      <c r="F68" s="7" t="n">
        <f aca="false">SUM(E68/57)</f>
        <v>679.108771929824</v>
      </c>
      <c r="G68" s="65" t="n">
        <f aca="false">SUM(B68*0.12/E68*F68)</f>
        <v>0.00210526315789474</v>
      </c>
      <c r="H68" s="10" t="n">
        <f aca="false">SUM(C68*G68)</f>
        <v>460.403578947368</v>
      </c>
    </row>
    <row r="69" customFormat="false" ht="15.75" hidden="false" customHeight="true" outlineLevel="0" collapsed="false">
      <c r="A69" s="66" t="s">
        <v>112</v>
      </c>
      <c r="B69" s="66"/>
      <c r="C69" s="66"/>
      <c r="D69" s="66"/>
      <c r="E69" s="66"/>
      <c r="F69" s="66"/>
      <c r="G69" s="66"/>
      <c r="H69" s="48" t="n">
        <f aca="false">SUM(H55:H68)</f>
        <v>1124.31936842105</v>
      </c>
    </row>
    <row r="70" customFormat="false" ht="15.75" hidden="false" customHeight="false" outlineLevel="0" collapsed="false">
      <c r="A70" s="7"/>
      <c r="B70" s="7"/>
      <c r="C70" s="7"/>
      <c r="D70" s="7"/>
      <c r="E70" s="7"/>
      <c r="F70" s="7"/>
      <c r="G70" s="7"/>
      <c r="H70" s="10"/>
    </row>
    <row r="71" customFormat="false" ht="28.5" hidden="false" customHeight="true" outlineLevel="0" collapsed="false">
      <c r="A71" s="30" t="s">
        <v>76</v>
      </c>
      <c r="B71" s="30"/>
      <c r="C71" s="30"/>
      <c r="D71" s="30"/>
      <c r="E71" s="30"/>
      <c r="F71" s="30"/>
      <c r="G71" s="30"/>
      <c r="H71" s="30"/>
      <c r="I71" s="63"/>
      <c r="J71" s="63"/>
      <c r="K71" s="63"/>
      <c r="L71" s="63"/>
      <c r="M71" s="63"/>
      <c r="N71" s="63"/>
    </row>
    <row r="72" customFormat="false" ht="15.75" hidden="false" customHeight="false" outlineLevel="0" collapsed="false">
      <c r="A72" s="7" t="s">
        <v>98</v>
      </c>
      <c r="B72" s="7" t="n">
        <v>5</v>
      </c>
      <c r="C72" s="64" t="n">
        <v>850</v>
      </c>
      <c r="D72" s="64" t="n">
        <f aca="false">SUM(B72*C72)</f>
        <v>4250</v>
      </c>
      <c r="E72" s="7" t="n">
        <v>38709.2</v>
      </c>
      <c r="F72" s="7" t="n">
        <f aca="false">SUM(E72/33)</f>
        <v>1173.00606060606</v>
      </c>
      <c r="G72" s="65" t="n">
        <f aca="false">SUM(B72*0.07/E72*F72)</f>
        <v>0.0106060606060606</v>
      </c>
      <c r="H72" s="10" t="n">
        <f aca="false">SUM(C72*G72)</f>
        <v>9.01515151515152</v>
      </c>
    </row>
    <row r="73" customFormat="false" ht="47.25" hidden="false" customHeight="false" outlineLevel="0" collapsed="false">
      <c r="A73" s="4" t="s">
        <v>99</v>
      </c>
      <c r="B73" s="7" t="n">
        <v>12</v>
      </c>
      <c r="C73" s="64" t="n">
        <v>14400</v>
      </c>
      <c r="D73" s="64" t="n">
        <f aca="false">SUM(B73*C73)</f>
        <v>172800</v>
      </c>
      <c r="E73" s="7" t="n">
        <v>38709.2</v>
      </c>
      <c r="F73" s="7" t="n">
        <f aca="false">SUM(E73/33)</f>
        <v>1173.00606060606</v>
      </c>
      <c r="G73" s="65" t="n">
        <f aca="false">SUM(B73*0.07/E73*F73)</f>
        <v>0.0254545454545455</v>
      </c>
      <c r="H73" s="10" t="n">
        <f aca="false">SUM(C73*G73)</f>
        <v>366.545454545455</v>
      </c>
    </row>
    <row r="74" customFormat="false" ht="15.75" hidden="false" customHeight="false" outlineLevel="0" collapsed="false">
      <c r="A74" s="7" t="s">
        <v>100</v>
      </c>
      <c r="B74" s="7" t="n">
        <v>4</v>
      </c>
      <c r="C74" s="64" t="n">
        <v>2687</v>
      </c>
      <c r="D74" s="64" t="n">
        <f aca="false">SUM(B74*C74)</f>
        <v>10748</v>
      </c>
      <c r="E74" s="7" t="n">
        <v>38709.2</v>
      </c>
      <c r="F74" s="7" t="n">
        <f aca="false">SUM(E74/33)</f>
        <v>1173.00606060606</v>
      </c>
      <c r="G74" s="65" t="n">
        <f aca="false">SUM(B74*0.07/E74*F74)</f>
        <v>0.00848484848484849</v>
      </c>
      <c r="H74" s="10" t="n">
        <f aca="false">SUM(C74*G74)</f>
        <v>22.7987878787879</v>
      </c>
    </row>
    <row r="75" customFormat="false" ht="15" hidden="false" customHeight="false" outlineLevel="0" collapsed="false">
      <c r="A75" s="7" t="s">
        <v>101</v>
      </c>
      <c r="B75" s="7"/>
      <c r="C75" s="64" t="n">
        <v>1135</v>
      </c>
      <c r="D75" s="64" t="n">
        <f aca="false">SUM(B75*C75)</f>
        <v>0</v>
      </c>
      <c r="E75" s="7" t="n">
        <v>38709.2</v>
      </c>
      <c r="F75" s="7" t="n">
        <f aca="false">SUM(E75/33)</f>
        <v>1173.00606060606</v>
      </c>
      <c r="G75" s="65" t="n">
        <f aca="false">SUM(B75*0.07/E75*F75)</f>
        <v>0</v>
      </c>
      <c r="H75" s="10" t="n">
        <f aca="false">SUM(C75*G75)</f>
        <v>0</v>
      </c>
    </row>
    <row r="76" customFormat="false" ht="15.75" hidden="false" customHeight="false" outlineLevel="0" collapsed="false">
      <c r="A76" s="7" t="s">
        <v>102</v>
      </c>
      <c r="B76" s="7" t="n">
        <v>12</v>
      </c>
      <c r="C76" s="64" t="n">
        <v>800</v>
      </c>
      <c r="D76" s="64" t="n">
        <f aca="false">SUM(B76*C76)</f>
        <v>9600</v>
      </c>
      <c r="E76" s="7" t="n">
        <v>38709.2</v>
      </c>
      <c r="F76" s="7" t="n">
        <f aca="false">SUM(E76/33)</f>
        <v>1173.00606060606</v>
      </c>
      <c r="G76" s="65" t="n">
        <f aca="false">SUM(B76*0.07/E76*F76)</f>
        <v>0.0254545454545455</v>
      </c>
      <c r="H76" s="10" t="n">
        <f aca="false">SUM(C76*G76)</f>
        <v>20.3636363636364</v>
      </c>
    </row>
    <row r="77" customFormat="false" ht="15" hidden="false" customHeight="false" outlineLevel="0" collapsed="false">
      <c r="A77" s="4" t="s">
        <v>103</v>
      </c>
      <c r="B77" s="7"/>
      <c r="C77" s="64" t="n">
        <v>20000</v>
      </c>
      <c r="D77" s="64" t="n">
        <f aca="false">SUM(B77*C77)</f>
        <v>0</v>
      </c>
      <c r="E77" s="7" t="n">
        <v>38709.2</v>
      </c>
      <c r="F77" s="7" t="n">
        <f aca="false">SUM(E77/33)</f>
        <v>1173.00606060606</v>
      </c>
      <c r="G77" s="65" t="n">
        <f aca="false">SUM(B77*0.07/E77*F77)</f>
        <v>0</v>
      </c>
      <c r="H77" s="10" t="n">
        <f aca="false">SUM(C77*G77)</f>
        <v>0</v>
      </c>
    </row>
    <row r="78" customFormat="false" ht="26.85" hidden="false" customHeight="false" outlineLevel="0" collapsed="false">
      <c r="A78" s="4" t="s">
        <v>104</v>
      </c>
      <c r="B78" s="7"/>
      <c r="C78" s="64" t="n">
        <v>12000</v>
      </c>
      <c r="D78" s="64" t="n">
        <f aca="false">SUM(B78*C78)</f>
        <v>0</v>
      </c>
      <c r="E78" s="7" t="n">
        <v>38709.2</v>
      </c>
      <c r="F78" s="7" t="n">
        <f aca="false">SUM(E78/33)</f>
        <v>1173.00606060606</v>
      </c>
      <c r="G78" s="65" t="n">
        <f aca="false">SUM(B78*0.07/E78*F78)</f>
        <v>0</v>
      </c>
      <c r="H78" s="10" t="n">
        <f aca="false">SUM(C78*G78)</f>
        <v>0</v>
      </c>
    </row>
    <row r="79" customFormat="false" ht="27" hidden="false" customHeight="false" outlineLevel="0" collapsed="false">
      <c r="A79" s="4" t="s">
        <v>105</v>
      </c>
      <c r="B79" s="7" t="n">
        <v>1</v>
      </c>
      <c r="C79" s="64" t="n">
        <v>3400</v>
      </c>
      <c r="D79" s="64" t="n">
        <f aca="false">SUM(B79*C79)</f>
        <v>3400</v>
      </c>
      <c r="E79" s="7" t="n">
        <v>38709.2</v>
      </c>
      <c r="F79" s="7" t="n">
        <f aca="false">SUM(E79/33)</f>
        <v>1173.00606060606</v>
      </c>
      <c r="G79" s="65" t="n">
        <f aca="false">SUM(B79*0.07/E79*F79)</f>
        <v>0.00212121212121212</v>
      </c>
      <c r="H79" s="10" t="n">
        <f aca="false">SUM(C79*G79)</f>
        <v>7.21212121212121</v>
      </c>
    </row>
    <row r="80" customFormat="false" ht="31.5" hidden="false" customHeight="false" outlineLevel="0" collapsed="false">
      <c r="A80" s="4" t="s">
        <v>106</v>
      </c>
      <c r="B80" s="7" t="n">
        <v>1</v>
      </c>
      <c r="C80" s="64" t="n">
        <v>33000</v>
      </c>
      <c r="D80" s="64" t="n">
        <f aca="false">SUM(B80*C80)</f>
        <v>33000</v>
      </c>
      <c r="E80" s="7" t="n">
        <v>38709.2</v>
      </c>
      <c r="F80" s="7" t="n">
        <f aca="false">SUM(E80/33)</f>
        <v>1173.00606060606</v>
      </c>
      <c r="G80" s="65" t="n">
        <f aca="false">SUM(B80*0.07/E80*F80)</f>
        <v>0.00212121212121212</v>
      </c>
      <c r="H80" s="10" t="n">
        <f aca="false">SUM(C80*G80)</f>
        <v>70</v>
      </c>
    </row>
    <row r="81" customFormat="false" ht="31.5" hidden="false" customHeight="false" outlineLevel="0" collapsed="false">
      <c r="A81" s="4" t="s">
        <v>107</v>
      </c>
      <c r="B81" s="7" t="n">
        <v>1</v>
      </c>
      <c r="C81" s="64" t="n">
        <v>21000</v>
      </c>
      <c r="D81" s="64" t="n">
        <f aca="false">SUM(B81*C81)</f>
        <v>21000</v>
      </c>
      <c r="E81" s="7" t="n">
        <v>38709.2</v>
      </c>
      <c r="F81" s="7" t="n">
        <f aca="false">SUM(E81/33)</f>
        <v>1173.00606060606</v>
      </c>
      <c r="G81" s="65" t="n">
        <f aca="false">SUM(B81*0.07/E81*F81)</f>
        <v>0.00212121212121212</v>
      </c>
      <c r="H81" s="10" t="n">
        <f aca="false">SUM(C81*G81)</f>
        <v>44.5454545454546</v>
      </c>
    </row>
    <row r="82" customFormat="false" ht="31.5" hidden="false" customHeight="false" outlineLevel="0" collapsed="false">
      <c r="A82" s="4" t="s">
        <v>108</v>
      </c>
      <c r="B82" s="7" t="n">
        <v>65</v>
      </c>
      <c r="C82" s="64" t="n">
        <v>800</v>
      </c>
      <c r="D82" s="64" t="n">
        <f aca="false">SUM(B82*C82)</f>
        <v>52000</v>
      </c>
      <c r="E82" s="7" t="n">
        <v>38709.2</v>
      </c>
      <c r="F82" s="7" t="n">
        <f aca="false">SUM(E82/33)</f>
        <v>1173.00606060606</v>
      </c>
      <c r="G82" s="65" t="n">
        <f aca="false">SUM(B82*0.07/E82*F82)</f>
        <v>0.137878787878788</v>
      </c>
      <c r="H82" s="10" t="n">
        <f aca="false">SUM(C82*G82)</f>
        <v>110.30303030303</v>
      </c>
    </row>
    <row r="83" customFormat="false" ht="31.5" hidden="false" customHeight="false" outlineLevel="0" collapsed="false">
      <c r="A83" s="4" t="s">
        <v>109</v>
      </c>
      <c r="B83" s="7" t="n">
        <v>1</v>
      </c>
      <c r="C83" s="64" t="n">
        <v>5000</v>
      </c>
      <c r="D83" s="64" t="n">
        <f aca="false">SUM(B83*C83)</f>
        <v>5000</v>
      </c>
      <c r="E83" s="7" t="n">
        <v>38709.2</v>
      </c>
      <c r="F83" s="7" t="n">
        <f aca="false">SUM(E83/33)</f>
        <v>1173.00606060606</v>
      </c>
      <c r="G83" s="65" t="n">
        <f aca="false">SUM(B83*0.07/E83*F83)</f>
        <v>0.00212121212121212</v>
      </c>
      <c r="H83" s="10" t="n">
        <f aca="false">SUM(C83*G83)</f>
        <v>10.6060606060606</v>
      </c>
    </row>
    <row r="84" customFormat="false" ht="15.75" hidden="false" customHeight="false" outlineLevel="0" collapsed="false">
      <c r="A84" s="4" t="s">
        <v>110</v>
      </c>
      <c r="B84" s="7" t="n">
        <v>1</v>
      </c>
      <c r="C84" s="64" t="n">
        <v>3562</v>
      </c>
      <c r="D84" s="64" t="n">
        <f aca="false">SUM(B84*C84)</f>
        <v>3562</v>
      </c>
      <c r="E84" s="7" t="n">
        <v>38709.2</v>
      </c>
      <c r="F84" s="7" t="n">
        <f aca="false">SUM(E84/33)</f>
        <v>1173.00606060606</v>
      </c>
      <c r="G84" s="65" t="n">
        <f aca="false">SUM(B84*0.07/E84*F84)</f>
        <v>0.00212121212121212</v>
      </c>
      <c r="H84" s="10" t="n">
        <f aca="false">SUM(C84*G84)</f>
        <v>7.55575757575758</v>
      </c>
    </row>
    <row r="85" customFormat="false" ht="15.75" hidden="false" customHeight="false" outlineLevel="0" collapsed="false">
      <c r="A85" s="4" t="s">
        <v>111</v>
      </c>
      <c r="B85" s="7" t="n">
        <v>1</v>
      </c>
      <c r="C85" s="64" t="n">
        <v>218691.7</v>
      </c>
      <c r="D85" s="64" t="n">
        <f aca="false">SUM(B85*C85)</f>
        <v>218691.7</v>
      </c>
      <c r="E85" s="7" t="n">
        <v>38709.2</v>
      </c>
      <c r="F85" s="7" t="n">
        <f aca="false">SUM(E85/33)</f>
        <v>1173.00606060606</v>
      </c>
      <c r="G85" s="65" t="n">
        <f aca="false">SUM(B85*0.07/E85*F85)</f>
        <v>0.00212121212121212</v>
      </c>
      <c r="H85" s="10" t="n">
        <f aca="false">SUM(C85*G85)</f>
        <v>463.891484848485</v>
      </c>
    </row>
    <row r="86" customFormat="false" ht="15.75" hidden="false" customHeight="true" outlineLevel="0" collapsed="false">
      <c r="A86" s="66" t="s">
        <v>112</v>
      </c>
      <c r="B86" s="66"/>
      <c r="C86" s="66"/>
      <c r="D86" s="66"/>
      <c r="E86" s="66"/>
      <c r="F86" s="66"/>
      <c r="G86" s="66"/>
      <c r="H86" s="48" t="n">
        <f aca="false">SUM(H72:H83)</f>
        <v>661.389696969697</v>
      </c>
    </row>
    <row r="87" customFormat="false" ht="15" hidden="false" customHeight="false" outlineLevel="0" collapsed="false">
      <c r="H87" s="67"/>
    </row>
  </sheetData>
  <mergeCells count="11">
    <mergeCell ref="A1:H1"/>
    <mergeCell ref="A3:H3"/>
    <mergeCell ref="A18:G18"/>
    <mergeCell ref="A19:H20"/>
    <mergeCell ref="A35:G35"/>
    <mergeCell ref="A37:H37"/>
    <mergeCell ref="A52:G52"/>
    <mergeCell ref="A53:H54"/>
    <mergeCell ref="A69:G69"/>
    <mergeCell ref="A71:H71"/>
    <mergeCell ref="A86:G8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9.59"/>
    <col collapsed="false" customWidth="true" hidden="false" outlineLevel="0" max="3" min="3" style="1" width="23.01"/>
    <col collapsed="false" customWidth="true" hidden="false" outlineLevel="0" max="4" min="4" style="1" width="22.57"/>
    <col collapsed="false" customWidth="true" hidden="false" outlineLevel="0" max="5" min="5" style="1" width="24"/>
    <col collapsed="false" customWidth="true" hidden="false" outlineLevel="0" max="6" min="6" style="1" width="21.57"/>
    <col collapsed="false" customWidth="true" hidden="false" outlineLevel="0" max="7" min="7" style="1" width="23.28"/>
    <col collapsed="false" customWidth="true" hidden="false" outlineLevel="0" max="1025" min="8" style="1" width="9.13"/>
  </cols>
  <sheetData>
    <row r="1" s="69" customFormat="true" ht="35.25" hidden="false" customHeight="true" outlineLevel="0" collapsed="false">
      <c r="A1" s="68" t="s">
        <v>0</v>
      </c>
      <c r="B1" s="68"/>
      <c r="C1" s="68"/>
      <c r="D1" s="68"/>
      <c r="E1" s="68"/>
      <c r="F1" s="68"/>
      <c r="G1" s="68"/>
    </row>
    <row r="2" s="69" customFormat="true" ht="28.5" hidden="false" customHeight="true" outlineLevel="0" collapsed="false">
      <c r="A2" s="68" t="s">
        <v>113</v>
      </c>
      <c r="B2" s="68"/>
      <c r="C2" s="68"/>
      <c r="D2" s="68"/>
      <c r="E2" s="68"/>
      <c r="F2" s="68"/>
      <c r="G2" s="68"/>
    </row>
    <row r="3" customFormat="false" ht="45" hidden="false" customHeight="true" outlineLevel="0" collapsed="false">
      <c r="A3" s="70" t="s">
        <v>2</v>
      </c>
      <c r="B3" s="70"/>
      <c r="C3" s="70"/>
      <c r="D3" s="70"/>
      <c r="E3" s="70"/>
      <c r="F3" s="70"/>
      <c r="G3" s="70"/>
    </row>
    <row r="4" customFormat="false" ht="114" hidden="false" customHeight="true" outlineLevel="0" collapsed="false">
      <c r="A4" s="71" t="s">
        <v>3</v>
      </c>
      <c r="B4" s="71"/>
      <c r="C4" s="71" t="s">
        <v>4</v>
      </c>
      <c r="D4" s="71" t="s">
        <v>5</v>
      </c>
      <c r="E4" s="71" t="s">
        <v>6</v>
      </c>
      <c r="F4" s="71" t="s">
        <v>7</v>
      </c>
      <c r="G4" s="71" t="s">
        <v>8</v>
      </c>
    </row>
    <row r="5" customFormat="false" ht="30" hidden="false" customHeight="false" outlineLevel="0" collapsed="false">
      <c r="A5" s="72" t="s">
        <v>9</v>
      </c>
      <c r="B5" s="72" t="n">
        <v>481</v>
      </c>
      <c r="C5" s="73" t="n">
        <v>330</v>
      </c>
      <c r="D5" s="73" t="n">
        <v>37</v>
      </c>
      <c r="E5" s="73" t="n">
        <v>24</v>
      </c>
      <c r="F5" s="73" t="n">
        <v>57</v>
      </c>
      <c r="G5" s="73" t="n">
        <v>33</v>
      </c>
      <c r="H5" s="1" t="n">
        <f aca="false">SUM(C5:G5)</f>
        <v>481</v>
      </c>
    </row>
    <row r="6" customFormat="false" ht="34.5" hidden="false" customHeight="true" outlineLevel="0" collapsed="false">
      <c r="A6" s="71" t="s">
        <v>10</v>
      </c>
      <c r="B6" s="71" t="n">
        <v>0</v>
      </c>
      <c r="C6" s="73"/>
      <c r="D6" s="73"/>
      <c r="E6" s="73"/>
      <c r="F6" s="73"/>
      <c r="G6" s="73"/>
    </row>
    <row r="7" customFormat="false" ht="30" hidden="false" customHeight="false" outlineLevel="0" collapsed="false">
      <c r="A7" s="71" t="s">
        <v>11</v>
      </c>
      <c r="B7" s="74" t="n">
        <f aca="false">SUM(B6/B5)</f>
        <v>0</v>
      </c>
      <c r="C7" s="75"/>
      <c r="D7" s="75"/>
      <c r="E7" s="75"/>
      <c r="F7" s="75"/>
      <c r="G7" s="75"/>
    </row>
    <row r="8" customFormat="false" ht="21" hidden="false" customHeight="true" outlineLevel="0" collapsed="false">
      <c r="A8" s="71" t="s">
        <v>12</v>
      </c>
      <c r="B8" s="73"/>
      <c r="C8" s="76" t="n">
        <f aca="false">SUM(B7*C5)</f>
        <v>0</v>
      </c>
      <c r="D8" s="76" t="n">
        <f aca="false">SUM(B7*D5)</f>
        <v>0</v>
      </c>
      <c r="E8" s="76" t="n">
        <f aca="false">SUM(B7*E5)</f>
        <v>0</v>
      </c>
      <c r="F8" s="76" t="n">
        <f aca="false">SUM(B7*F5)</f>
        <v>0</v>
      </c>
      <c r="G8" s="76" t="n">
        <f aca="false">SUM(B7*G5)</f>
        <v>0</v>
      </c>
    </row>
    <row r="10" customFormat="false" ht="15" hidden="false" customHeight="false" outlineLevel="0" collapsed="false">
      <c r="C10" s="1" t="n">
        <f aca="false">SUM(C5/B5)*100</f>
        <v>68.6070686070686</v>
      </c>
      <c r="D10" s="1" t="n">
        <f aca="false">SUM(D5/B5*100)</f>
        <v>7.69230769230769</v>
      </c>
      <c r="E10" s="1" t="n">
        <f aca="false">SUM(E5/B5*100)</f>
        <v>4.98960498960499</v>
      </c>
      <c r="F10" s="1" t="n">
        <f aca="false">SUM(F5/B5*100)</f>
        <v>11.8503118503119</v>
      </c>
      <c r="G10" s="1" t="n">
        <f aca="false">SUM(G5/B5*100)</f>
        <v>6.86070686070686</v>
      </c>
    </row>
    <row r="12" customFormat="false" ht="15" hidden="false" customHeight="false" outlineLevel="0" collapsed="false">
      <c r="C12" s="1" t="n">
        <v>60</v>
      </c>
      <c r="D12" s="1" t="n">
        <v>72</v>
      </c>
    </row>
    <row r="13" customFormat="false" ht="15" hidden="false" customHeight="false" outlineLevel="0" collapsed="false">
      <c r="C13" s="1" t="n">
        <v>15</v>
      </c>
      <c r="D13" s="1" t="n">
        <v>6</v>
      </c>
    </row>
    <row r="14" customFormat="false" ht="15" hidden="false" customHeight="false" outlineLevel="0" collapsed="false">
      <c r="C14" s="1" t="n">
        <v>13</v>
      </c>
      <c r="D14" s="1" t="n">
        <v>9</v>
      </c>
    </row>
    <row r="15" customFormat="false" ht="15" hidden="false" customHeight="false" outlineLevel="0" collapsed="false">
      <c r="C15" s="1" t="n">
        <v>9</v>
      </c>
      <c r="D15" s="1" t="n">
        <v>8</v>
      </c>
    </row>
    <row r="16" customFormat="false" ht="15" hidden="false" customHeight="false" outlineLevel="0" collapsed="false">
      <c r="C16" s="1" t="n">
        <v>3</v>
      </c>
      <c r="D16" s="1" t="n">
        <v>5</v>
      </c>
    </row>
    <row r="17" customFormat="false" ht="15" hidden="false" customHeight="false" outlineLevel="0" collapsed="false">
      <c r="C17" s="1" t="n">
        <f aca="false">SUM(C12:C16)</f>
        <v>100</v>
      </c>
      <c r="D17" s="1" t="n">
        <f aca="false">SUM(D12:D16)</f>
        <v>100</v>
      </c>
    </row>
    <row r="20" customFormat="false" ht="15" hidden="false" customHeight="false" outlineLevel="0" collapsed="false">
      <c r="C20" s="1" t="n">
        <v>14.4</v>
      </c>
    </row>
    <row r="21" customFormat="false" ht="15" hidden="false" customHeight="false" outlineLevel="0" collapsed="false">
      <c r="C21" s="1" t="n">
        <v>12</v>
      </c>
    </row>
    <row r="22" customFormat="false" ht="15" hidden="false" customHeight="false" outlineLevel="0" collapsed="false">
      <c r="C22" s="1" t="n">
        <v>6</v>
      </c>
    </row>
    <row r="23" customFormat="false" ht="15" hidden="false" customHeight="false" outlineLevel="0" collapsed="false">
      <c r="C23" s="1" t="n">
        <v>7.5</v>
      </c>
    </row>
    <row r="24" customFormat="false" ht="15" hidden="false" customHeight="false" outlineLevel="0" collapsed="false">
      <c r="C24" s="1" t="n">
        <v>5</v>
      </c>
    </row>
    <row r="25" customFormat="false" ht="15" hidden="false" customHeight="false" outlineLevel="0" collapsed="false">
      <c r="C25" s="1" t="n">
        <v>15</v>
      </c>
    </row>
    <row r="26" customFormat="false" ht="15" hidden="false" customHeight="false" outlineLevel="0" collapsed="false">
      <c r="C26" s="1" t="n">
        <v>20</v>
      </c>
    </row>
    <row r="27" customFormat="false" ht="15" hidden="false" customHeight="false" outlineLevel="0" collapsed="false">
      <c r="C27" s="1" t="n">
        <v>6</v>
      </c>
    </row>
    <row r="28" customFormat="false" ht="15" hidden="false" customHeight="false" outlineLevel="0" collapsed="false">
      <c r="C28" s="1" t="n">
        <v>12.9</v>
      </c>
    </row>
    <row r="29" customFormat="false" ht="15" hidden="false" customHeight="false" outlineLevel="0" collapsed="false">
      <c r="C29" s="1" t="n">
        <v>16</v>
      </c>
    </row>
    <row r="30" customFormat="false" ht="15" hidden="false" customHeight="false" outlineLevel="0" collapsed="false">
      <c r="C30" s="1" t="n">
        <v>2</v>
      </c>
    </row>
    <row r="31" customFormat="false" ht="15" hidden="false" customHeight="false" outlineLevel="0" collapsed="false">
      <c r="C31" s="1" t="n">
        <v>126</v>
      </c>
    </row>
    <row r="32" customFormat="false" ht="15" hidden="false" customHeight="false" outlineLevel="0" collapsed="false">
      <c r="C32" s="1" t="n">
        <v>120</v>
      </c>
    </row>
    <row r="33" customFormat="false" ht="15" hidden="false" customHeight="false" outlineLevel="0" collapsed="false">
      <c r="C33" s="1" t="n">
        <v>8</v>
      </c>
    </row>
    <row r="34" customFormat="false" ht="15" hidden="false" customHeight="false" outlineLevel="0" collapsed="false">
      <c r="C34" s="1" t="n">
        <f aca="false">SUM(C20:C33)</f>
        <v>370.8</v>
      </c>
    </row>
    <row r="35" customFormat="false" ht="15" hidden="false" customHeight="false" outlineLevel="0" collapsed="false">
      <c r="C35" s="1" t="n">
        <f aca="false">SUM(C34-C26-C32)</f>
        <v>230.8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B1:I21"/>
  <sheetViews>
    <sheetView showFormulas="false" showGridLines="true" showRowColHeaders="true" showZeros="true" rightToLeft="false" tabSelected="false" showOutlineSymbols="true" defaultGridColor="true" view="normal" topLeftCell="A10" colorId="64" zoomScale="75" zoomScaleNormal="75" zoomScalePageLayoutView="100" workbookViewId="0">
      <selection pane="topLeft" activeCell="I7" activeCellId="0" sqref="I7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1.01"/>
    <col collapsed="false" customWidth="true" hidden="false" outlineLevel="0" max="3" min="3" style="0" width="8.67"/>
    <col collapsed="false" customWidth="true" hidden="false" outlineLevel="0" max="4" min="4" style="0" width="6.88"/>
    <col collapsed="false" customWidth="true" hidden="false" outlineLevel="0" max="5" min="5" style="0" width="10.99"/>
    <col collapsed="false" customWidth="true" hidden="false" outlineLevel="0" max="6" min="6" style="0" width="13.7"/>
    <col collapsed="false" customWidth="true" hidden="false" outlineLevel="0" max="7" min="7" style="0" width="10"/>
    <col collapsed="false" customWidth="true" hidden="false" outlineLevel="0" max="8" min="8" style="0" width="7.57"/>
    <col collapsed="false" customWidth="true" hidden="false" outlineLevel="0" max="1025" min="9" style="0" width="8.67"/>
  </cols>
  <sheetData>
    <row r="1" s="50" customFormat="true" ht="24" hidden="false" customHeight="true" outlineLevel="0" collapsed="false">
      <c r="B1" s="28" t="s">
        <v>114</v>
      </c>
      <c r="C1" s="28"/>
      <c r="D1" s="28"/>
      <c r="E1" s="28"/>
      <c r="F1" s="28"/>
      <c r="G1" s="28"/>
      <c r="H1" s="28"/>
      <c r="I1" s="28"/>
    </row>
    <row r="2" customFormat="false" ht="24" hidden="false" customHeight="true" outlineLevel="0" collapsed="false">
      <c r="B2" s="53" t="s">
        <v>115</v>
      </c>
      <c r="C2" s="4" t="s">
        <v>116</v>
      </c>
      <c r="D2" s="4" t="s">
        <v>59</v>
      </c>
      <c r="E2" s="4" t="s">
        <v>63</v>
      </c>
      <c r="F2" s="4" t="s">
        <v>64</v>
      </c>
      <c r="G2" s="4" t="s">
        <v>96</v>
      </c>
      <c r="H2" s="4" t="s">
        <v>61</v>
      </c>
      <c r="I2" s="4" t="s">
        <v>62</v>
      </c>
    </row>
    <row r="3" customFormat="false" ht="142.5" hidden="false" customHeight="true" outlineLevel="0" collapsed="false">
      <c r="B3" s="53"/>
      <c r="C3" s="4"/>
      <c r="D3" s="4"/>
      <c r="E3" s="4"/>
      <c r="F3" s="4"/>
      <c r="G3" s="4"/>
      <c r="H3" s="4"/>
      <c r="I3" s="4"/>
    </row>
    <row r="4" customFormat="false" ht="63" hidden="false" customHeight="false" outlineLevel="0" collapsed="false">
      <c r="B4" s="4" t="s">
        <v>117</v>
      </c>
      <c r="C4" s="4" t="s">
        <v>118</v>
      </c>
      <c r="D4" s="7" t="n">
        <v>10</v>
      </c>
      <c r="E4" s="7" t="n">
        <v>45196.2</v>
      </c>
      <c r="F4" s="7" t="n">
        <v>93.96</v>
      </c>
      <c r="G4" s="7" t="n">
        <f aca="false">SUM(D4/E4*F4)</f>
        <v>0.0207893583973874</v>
      </c>
      <c r="H4" s="7" t="n">
        <v>1500</v>
      </c>
      <c r="I4" s="8" t="n">
        <f aca="false">SUM(G4*H4)</f>
        <v>31.1840375960811</v>
      </c>
    </row>
    <row r="5" customFormat="false" ht="15.75" hidden="false" customHeight="true" outlineLevel="0" collapsed="false">
      <c r="B5" s="77" t="s">
        <v>119</v>
      </c>
      <c r="C5" s="77"/>
      <c r="D5" s="77"/>
      <c r="E5" s="77"/>
      <c r="F5" s="77"/>
      <c r="G5" s="77"/>
      <c r="H5" s="77"/>
      <c r="I5" s="78" t="n">
        <v>22.2</v>
      </c>
    </row>
    <row r="6" customFormat="false" ht="27" hidden="false" customHeight="true" outlineLevel="0" collapsed="false">
      <c r="B6" s="27"/>
      <c r="C6" s="27"/>
      <c r="D6" s="27"/>
      <c r="E6" s="27"/>
      <c r="F6" s="27"/>
      <c r="G6" s="27"/>
      <c r="H6" s="27"/>
      <c r="I6" s="27"/>
    </row>
    <row r="7" customFormat="false" ht="126" hidden="false" customHeight="false" outlineLevel="0" collapsed="false">
      <c r="B7" s="7" t="s">
        <v>115</v>
      </c>
      <c r="C7" s="4" t="s">
        <v>116</v>
      </c>
      <c r="D7" s="4" t="s">
        <v>59</v>
      </c>
      <c r="E7" s="4" t="s">
        <v>63</v>
      </c>
      <c r="F7" s="4" t="s">
        <v>64</v>
      </c>
      <c r="G7" s="4" t="s">
        <v>96</v>
      </c>
      <c r="H7" s="4" t="s">
        <v>61</v>
      </c>
      <c r="I7" s="4" t="s">
        <v>62</v>
      </c>
    </row>
    <row r="8" customFormat="false" ht="63" hidden="false" customHeight="false" outlineLevel="0" collapsed="false">
      <c r="B8" s="4" t="s">
        <v>120</v>
      </c>
      <c r="C8" s="4" t="s">
        <v>121</v>
      </c>
      <c r="D8" s="4" t="n">
        <v>1</v>
      </c>
      <c r="E8" s="7" t="n">
        <v>45196.2</v>
      </c>
      <c r="F8" s="7" t="n">
        <v>93.96</v>
      </c>
      <c r="G8" s="7" t="n">
        <f aca="false">SUM(D8/E8*F8)</f>
        <v>0.00207893583973874</v>
      </c>
      <c r="H8" s="4" t="n">
        <v>4200</v>
      </c>
      <c r="I8" s="8" t="n">
        <f aca="false">SUM(G8*H8)</f>
        <v>8.7315305269027</v>
      </c>
    </row>
    <row r="9" customFormat="false" ht="63" hidden="false" customHeight="false" outlineLevel="0" collapsed="false">
      <c r="B9" s="4" t="s">
        <v>122</v>
      </c>
      <c r="C9" s="4" t="s">
        <v>121</v>
      </c>
      <c r="D9" s="4" t="n">
        <v>20</v>
      </c>
      <c r="E9" s="7" t="n">
        <v>45196.2</v>
      </c>
      <c r="F9" s="7" t="n">
        <v>93.96</v>
      </c>
      <c r="G9" s="7" t="n">
        <f aca="false">SUM(D9/E9*F9)</f>
        <v>0.0415787167947748</v>
      </c>
      <c r="H9" s="4" t="n">
        <v>500</v>
      </c>
      <c r="I9" s="8" t="n">
        <f aca="false">SUM(G9*H9)</f>
        <v>20.7893583973874</v>
      </c>
    </row>
    <row r="10" customFormat="false" ht="63" hidden="false" customHeight="false" outlineLevel="0" collapsed="false">
      <c r="B10" s="4" t="s">
        <v>123</v>
      </c>
      <c r="C10" s="4" t="s">
        <v>121</v>
      </c>
      <c r="D10" s="4" t="n">
        <v>1</v>
      </c>
      <c r="E10" s="7" t="n">
        <v>45196.2</v>
      </c>
      <c r="F10" s="7" t="n">
        <v>93.96</v>
      </c>
      <c r="G10" s="7" t="n">
        <f aca="false">SUM(D10/E10*F10)</f>
        <v>0.00207893583973874</v>
      </c>
      <c r="H10" s="4" t="n">
        <v>1800</v>
      </c>
      <c r="I10" s="8" t="n">
        <f aca="false">SUM(G10*H10)</f>
        <v>3.74208451152973</v>
      </c>
    </row>
    <row r="11" customFormat="false" ht="63" hidden="false" customHeight="false" outlineLevel="0" collapsed="false">
      <c r="B11" s="4" t="s">
        <v>124</v>
      </c>
      <c r="C11" s="4" t="s">
        <v>121</v>
      </c>
      <c r="D11" s="4" t="n">
        <v>1</v>
      </c>
      <c r="E11" s="7" t="n">
        <v>45196.2</v>
      </c>
      <c r="F11" s="7" t="n">
        <v>93.96</v>
      </c>
      <c r="G11" s="7" t="n">
        <f aca="false">SUM(D11/E11*F11)</f>
        <v>0.00207893583973874</v>
      </c>
      <c r="H11" s="4" t="n">
        <v>40800</v>
      </c>
      <c r="I11" s="8" t="n">
        <f aca="false">SUM(G11*H11)</f>
        <v>84.8205822613406</v>
      </c>
    </row>
    <row r="12" customFormat="false" ht="63" hidden="false" customHeight="false" outlineLevel="0" collapsed="false">
      <c r="B12" s="4" t="s">
        <v>125</v>
      </c>
      <c r="C12" s="4" t="s">
        <v>121</v>
      </c>
      <c r="D12" s="7" t="n">
        <v>2</v>
      </c>
      <c r="E12" s="7" t="n">
        <v>45196.2</v>
      </c>
      <c r="F12" s="7" t="n">
        <v>93.96</v>
      </c>
      <c r="G12" s="7" t="n">
        <f aca="false">SUM(D12/E12*F12)</f>
        <v>0.00415787167947748</v>
      </c>
      <c r="H12" s="7" t="n">
        <v>9600</v>
      </c>
      <c r="I12" s="8" t="n">
        <f aca="false">SUM(G12*H12)</f>
        <v>39.9155681229838</v>
      </c>
    </row>
    <row r="13" customFormat="false" ht="15.75" hidden="false" customHeight="true" outlineLevel="0" collapsed="false">
      <c r="B13" s="77" t="s">
        <v>126</v>
      </c>
      <c r="C13" s="77"/>
      <c r="D13" s="77"/>
      <c r="E13" s="77"/>
      <c r="F13" s="77"/>
      <c r="G13" s="77"/>
      <c r="H13" s="77"/>
      <c r="I13" s="79" t="n">
        <f aca="false">SUM(I8:I12)</f>
        <v>157.999123820144</v>
      </c>
    </row>
    <row r="14" customFormat="false" ht="15.75" hidden="false" customHeight="false" outlineLevel="0" collapsed="false">
      <c r="B14" s="27"/>
      <c r="C14" s="27"/>
      <c r="D14" s="27"/>
      <c r="E14" s="27"/>
      <c r="F14" s="27"/>
      <c r="G14" s="27"/>
      <c r="H14" s="27"/>
      <c r="I14" s="80"/>
    </row>
    <row r="15" customFormat="false" ht="15.75" hidden="false" customHeight="false" outlineLevel="0" collapsed="false">
      <c r="B15" s="27"/>
      <c r="C15" s="27"/>
      <c r="D15" s="27"/>
      <c r="E15" s="27"/>
      <c r="F15" s="27"/>
      <c r="G15" s="27"/>
      <c r="H15" s="27"/>
      <c r="I15" s="27"/>
    </row>
    <row r="16" customFormat="false" ht="126" hidden="false" customHeight="false" outlineLevel="0" collapsed="false">
      <c r="B16" s="7" t="s">
        <v>115</v>
      </c>
      <c r="C16" s="4" t="s">
        <v>116</v>
      </c>
      <c r="D16" s="4" t="s">
        <v>59</v>
      </c>
      <c r="E16" s="4" t="s">
        <v>63</v>
      </c>
      <c r="F16" s="4" t="s">
        <v>64</v>
      </c>
      <c r="G16" s="4" t="s">
        <v>96</v>
      </c>
      <c r="H16" s="4" t="s">
        <v>61</v>
      </c>
      <c r="I16" s="4" t="s">
        <v>62</v>
      </c>
    </row>
    <row r="17" customFormat="false" ht="47.25" hidden="false" customHeight="false" outlineLevel="0" collapsed="false">
      <c r="B17" s="4" t="s">
        <v>127</v>
      </c>
      <c r="C17" s="4" t="s">
        <v>128</v>
      </c>
      <c r="D17" s="7" t="n">
        <v>10</v>
      </c>
      <c r="E17" s="7" t="n">
        <v>45196.2</v>
      </c>
      <c r="F17" s="7" t="n">
        <v>93.96</v>
      </c>
      <c r="G17" s="7" t="n">
        <f aca="false">SUM(D17/E17*F17)</f>
        <v>0.0207893583973874</v>
      </c>
      <c r="H17" s="7" t="n">
        <v>1300</v>
      </c>
      <c r="I17" s="8" t="n">
        <f aca="false">SUM(G17*H17)</f>
        <v>27.0261659166036</v>
      </c>
    </row>
    <row r="18" customFormat="false" ht="47.25" hidden="false" customHeight="false" outlineLevel="0" collapsed="false">
      <c r="B18" s="4" t="s">
        <v>129</v>
      </c>
      <c r="C18" s="4" t="s">
        <v>128</v>
      </c>
      <c r="D18" s="7" t="n">
        <v>4</v>
      </c>
      <c r="E18" s="7" t="n">
        <v>45196.2</v>
      </c>
      <c r="F18" s="7" t="n">
        <v>93.96</v>
      </c>
      <c r="G18" s="7" t="n">
        <f aca="false">SUM(D18/E18*F18)</f>
        <v>0.00831574335895496</v>
      </c>
      <c r="H18" s="7" t="n">
        <v>1200</v>
      </c>
      <c r="I18" s="8" t="n">
        <f aca="false">SUM(G18*H18)</f>
        <v>9.97889203074595</v>
      </c>
    </row>
    <row r="19" customFormat="false" ht="47.25" hidden="false" customHeight="false" outlineLevel="0" collapsed="false">
      <c r="B19" s="4" t="s">
        <v>130</v>
      </c>
      <c r="C19" s="4" t="s">
        <v>128</v>
      </c>
      <c r="D19" s="7" t="n">
        <v>30</v>
      </c>
      <c r="E19" s="7" t="n">
        <v>45196.2</v>
      </c>
      <c r="F19" s="7" t="n">
        <v>93.96</v>
      </c>
      <c r="G19" s="7" t="n">
        <f aca="false">SUM(D19/E19*F19)</f>
        <v>0.0623680751921622</v>
      </c>
      <c r="H19" s="7" t="n">
        <v>200</v>
      </c>
      <c r="I19" s="8" t="n">
        <f aca="false">SUM(G19*H19)</f>
        <v>12.4736150384324</v>
      </c>
    </row>
    <row r="20" customFormat="false" ht="15.75" hidden="false" customHeight="true" outlineLevel="0" collapsed="false">
      <c r="B20" s="77" t="s">
        <v>131</v>
      </c>
      <c r="C20" s="77"/>
      <c r="D20" s="77"/>
      <c r="E20" s="77"/>
      <c r="F20" s="77"/>
      <c r="G20" s="77"/>
      <c r="H20" s="77"/>
      <c r="I20" s="79" t="n">
        <f aca="false">SUM(I17:I19)</f>
        <v>49.478672985782</v>
      </c>
    </row>
    <row r="21" customFormat="false" ht="15.75" hidden="false" customHeight="false" outlineLevel="0" collapsed="false"/>
  </sheetData>
  <mergeCells count="12">
    <mergeCell ref="B1:I1"/>
    <mergeCell ref="B2:B3"/>
    <mergeCell ref="C2:C3"/>
    <mergeCell ref="D2:D3"/>
    <mergeCell ref="E2:E3"/>
    <mergeCell ref="F2:F3"/>
    <mergeCell ref="G2:G3"/>
    <mergeCell ref="H2:H3"/>
    <mergeCell ref="I2:I3"/>
    <mergeCell ref="B5:H5"/>
    <mergeCell ref="B13:H13"/>
    <mergeCell ref="B20:H2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I23" activeCellId="0" sqref="I23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0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1025" min="9" style="0" width="8.67"/>
  </cols>
  <sheetData>
    <row r="1" s="50" customFormat="true" ht="33.75" hidden="false" customHeight="true" outlineLevel="0" collapsed="false">
      <c r="A1" s="2" t="s">
        <v>132</v>
      </c>
      <c r="B1" s="2"/>
      <c r="C1" s="2"/>
      <c r="D1" s="2"/>
      <c r="E1" s="2"/>
      <c r="F1" s="2"/>
      <c r="G1" s="2"/>
      <c r="H1" s="2"/>
    </row>
    <row r="2" customFormat="false" ht="141.75" hidden="false" customHeight="false" outlineLevel="0" collapsed="false">
      <c r="A2" s="81" t="s">
        <v>133</v>
      </c>
      <c r="B2" s="82" t="s">
        <v>24</v>
      </c>
      <c r="C2" s="82" t="s">
        <v>134</v>
      </c>
      <c r="D2" s="82" t="s">
        <v>63</v>
      </c>
      <c r="E2" s="82" t="s">
        <v>64</v>
      </c>
      <c r="F2" s="82" t="s">
        <v>84</v>
      </c>
      <c r="G2" s="82" t="s">
        <v>135</v>
      </c>
      <c r="H2" s="83" t="s">
        <v>62</v>
      </c>
    </row>
    <row r="3" customFormat="false" ht="15.75" hidden="false" customHeight="false" outlineLevel="0" collapsed="false">
      <c r="A3" s="21" t="s">
        <v>28</v>
      </c>
      <c r="B3" s="7" t="n">
        <v>1</v>
      </c>
      <c r="C3" s="7" t="n">
        <v>46108.01</v>
      </c>
      <c r="D3" s="7" t="n">
        <v>45196.2</v>
      </c>
      <c r="E3" s="7" t="n">
        <v>93.96</v>
      </c>
      <c r="F3" s="84" t="n">
        <f aca="false">SUM(B3/D3*E3)</f>
        <v>0.00207893583973874</v>
      </c>
      <c r="G3" s="7" t="n">
        <f aca="false">SUM(C3*12*1.302)</f>
        <v>720391.54824</v>
      </c>
      <c r="H3" s="46" t="n">
        <f aca="false">SUM(G3*F3)/B3</f>
        <v>1497.64780828102</v>
      </c>
    </row>
    <row r="4" customFormat="false" ht="15.75" hidden="false" customHeight="false" outlineLevel="0" collapsed="false">
      <c r="A4" s="21" t="s">
        <v>136</v>
      </c>
      <c r="B4" s="7" t="n">
        <v>1</v>
      </c>
      <c r="C4" s="7" t="n">
        <v>22431.75</v>
      </c>
      <c r="D4" s="7" t="n">
        <v>45196.2</v>
      </c>
      <c r="E4" s="7" t="n">
        <v>93.96</v>
      </c>
      <c r="F4" s="84" t="n">
        <f aca="false">SUM(B4/D4*E4)</f>
        <v>0.00207893583973874</v>
      </c>
      <c r="G4" s="7" t="n">
        <f aca="false">SUM(C4*12*1.302)</f>
        <v>350473.662</v>
      </c>
      <c r="H4" s="46" t="n">
        <f aca="false">SUM(G4*F4)/B4</f>
        <v>728.612256816281</v>
      </c>
    </row>
    <row r="5" customFormat="false" ht="15.75" hidden="false" customHeight="false" outlineLevel="0" collapsed="false">
      <c r="A5" s="21" t="s">
        <v>32</v>
      </c>
      <c r="B5" s="7" t="n">
        <v>1</v>
      </c>
      <c r="C5" s="7" t="n">
        <v>9058.5</v>
      </c>
      <c r="D5" s="7" t="n">
        <v>45196.2</v>
      </c>
      <c r="E5" s="7" t="n">
        <v>93.96</v>
      </c>
      <c r="F5" s="84" t="n">
        <f aca="false">SUM(B5/D5*E5)</f>
        <v>0.00207893583973874</v>
      </c>
      <c r="G5" s="7" t="n">
        <f aca="false">SUM(C5*12*1.302)</f>
        <v>141530.004</v>
      </c>
      <c r="H5" s="46" t="n">
        <f aca="false">SUM(G5*F5)/B5</f>
        <v>294.231797713967</v>
      </c>
    </row>
    <row r="6" customFormat="false" ht="15.75" hidden="false" customHeight="false" outlineLevel="0" collapsed="false">
      <c r="A6" s="21" t="s">
        <v>34</v>
      </c>
      <c r="B6" s="7" t="n">
        <v>1</v>
      </c>
      <c r="C6" s="7" t="n">
        <v>9058.5</v>
      </c>
      <c r="D6" s="7" t="n">
        <v>45196.2</v>
      </c>
      <c r="E6" s="7" t="n">
        <v>93.96</v>
      </c>
      <c r="F6" s="84" t="n">
        <f aca="false">SUM(B6/D6*E6)</f>
        <v>0.00207893583973874</v>
      </c>
      <c r="G6" s="7" t="n">
        <f aca="false">SUM(C6*12*1.302)</f>
        <v>141530.004</v>
      </c>
      <c r="H6" s="46" t="n">
        <f aca="false">SUM(G6*F6)/B6</f>
        <v>294.231797713967</v>
      </c>
    </row>
    <row r="7" customFormat="false" ht="15.75" hidden="false" customHeight="false" outlineLevel="0" collapsed="false">
      <c r="A7" s="21" t="s">
        <v>36</v>
      </c>
      <c r="B7" s="7" t="n">
        <v>0.5</v>
      </c>
      <c r="C7" s="7" t="n">
        <v>3996.3</v>
      </c>
      <c r="D7" s="7" t="n">
        <v>45196.2</v>
      </c>
      <c r="E7" s="7" t="n">
        <v>93.96</v>
      </c>
      <c r="F7" s="84" t="n">
        <f aca="false">SUM(B7/D7*E7)</f>
        <v>0.00103946791986937</v>
      </c>
      <c r="G7" s="7" t="n">
        <f aca="false">SUM(C7*12*1.302)</f>
        <v>62438.1912</v>
      </c>
      <c r="H7" s="46" t="n">
        <f aca="false">SUM(G7*F7)/B7</f>
        <v>129.80499345414</v>
      </c>
    </row>
    <row r="8" customFormat="false" ht="15.75" hidden="false" customHeight="false" outlineLevel="0" collapsed="false">
      <c r="A8" s="21" t="s">
        <v>38</v>
      </c>
      <c r="B8" s="7" t="n">
        <v>1</v>
      </c>
      <c r="C8" s="7" t="n">
        <v>6404.11</v>
      </c>
      <c r="D8" s="7" t="n">
        <v>45196.2</v>
      </c>
      <c r="E8" s="7" t="n">
        <v>93.96</v>
      </c>
      <c r="F8" s="84" t="n">
        <f aca="false">SUM(B8/D8*E8)</f>
        <v>0.00207893583973874</v>
      </c>
      <c r="G8" s="7" t="n">
        <f aca="false">SUM(C8*12*1.302)</f>
        <v>100057.81464</v>
      </c>
      <c r="H8" s="46" t="n">
        <f aca="false">SUM(G8*F8)/B8</f>
        <v>208.013776901031</v>
      </c>
    </row>
    <row r="9" customFormat="false" ht="15.75" hidden="false" customHeight="false" outlineLevel="0" collapsed="false">
      <c r="A9" s="21" t="s">
        <v>39</v>
      </c>
      <c r="B9" s="7" t="n">
        <v>1</v>
      </c>
      <c r="C9" s="7" t="n">
        <v>7915.91</v>
      </c>
      <c r="D9" s="7" t="n">
        <v>45196.2</v>
      </c>
      <c r="E9" s="7" t="n">
        <v>93.96</v>
      </c>
      <c r="F9" s="84" t="n">
        <f aca="false">SUM(B9/D9*E9)</f>
        <v>0.00207893583973874</v>
      </c>
      <c r="G9" s="7" t="n">
        <f aca="false">SUM(C9*12*1.302)</f>
        <v>123678.17784</v>
      </c>
      <c r="H9" s="46" t="n">
        <f aca="false">SUM(G9*F9)/B9</f>
        <v>257.118996505157</v>
      </c>
    </row>
    <row r="10" customFormat="false" ht="31.5" hidden="false" customHeight="false" outlineLevel="0" collapsed="false">
      <c r="A10" s="21" t="s">
        <v>40</v>
      </c>
      <c r="B10" s="7" t="n">
        <v>1</v>
      </c>
      <c r="C10" s="7" t="n">
        <v>10723.35</v>
      </c>
      <c r="D10" s="7" t="n">
        <v>45196.2</v>
      </c>
      <c r="E10" s="7" t="n">
        <v>93.96</v>
      </c>
      <c r="F10" s="84" t="n">
        <f aca="false">SUM(B10/D10*E10)</f>
        <v>0.00207893583973874</v>
      </c>
      <c r="G10" s="7" t="n">
        <f aca="false">SUM(C10*12*1.302)</f>
        <v>167541.6204</v>
      </c>
      <c r="H10" s="46" t="n">
        <f aca="false">SUM(G10*F10)/B10</f>
        <v>348.308279297463</v>
      </c>
    </row>
    <row r="11" customFormat="false" ht="15.75" hidden="false" customHeight="false" outlineLevel="0" collapsed="false">
      <c r="A11" s="21" t="s">
        <v>41</v>
      </c>
      <c r="B11" s="7" t="n">
        <v>1</v>
      </c>
      <c r="C11" s="7" t="n">
        <v>6304.58</v>
      </c>
      <c r="D11" s="7" t="n">
        <v>45196.2</v>
      </c>
      <c r="E11" s="7" t="n">
        <v>93.96</v>
      </c>
      <c r="F11" s="84" t="n">
        <f aca="false">SUM(B11/D11*E11)</f>
        <v>0.00207893583973874</v>
      </c>
      <c r="G11" s="7" t="n">
        <f aca="false">SUM(C11*12*1.302)</f>
        <v>98502.75792</v>
      </c>
      <c r="H11" s="46" t="n">
        <f aca="false">SUM(G11*F11)/B11</f>
        <v>204.780913752997</v>
      </c>
    </row>
    <row r="12" customFormat="false" ht="15.75" hidden="false" customHeight="false" outlineLevel="0" collapsed="false">
      <c r="A12" s="21" t="s">
        <v>42</v>
      </c>
      <c r="B12" s="7" t="n">
        <v>0.5</v>
      </c>
      <c r="C12" s="7" t="n">
        <v>7992.6</v>
      </c>
      <c r="D12" s="7" t="n">
        <v>45196.2</v>
      </c>
      <c r="E12" s="7" t="n">
        <v>93.96</v>
      </c>
      <c r="F12" s="84" t="n">
        <f aca="false">SUM(B12/D12)*E12</f>
        <v>0.00103946791986937</v>
      </c>
      <c r="G12" s="7" t="n">
        <f aca="false">SUM(C12*12*1.302)</f>
        <v>124876.3824</v>
      </c>
      <c r="H12" s="46" t="n">
        <f aca="false">SUM(G12*F12)/B12</f>
        <v>259.60998690828</v>
      </c>
    </row>
    <row r="13" customFormat="false" ht="31.5" hidden="false" customHeight="false" outlineLevel="0" collapsed="false">
      <c r="A13" s="21" t="s">
        <v>137</v>
      </c>
      <c r="B13" s="7" t="n">
        <v>2</v>
      </c>
      <c r="C13" s="7" t="n">
        <v>13316.16</v>
      </c>
      <c r="D13" s="7" t="n">
        <v>45196.2</v>
      </c>
      <c r="E13" s="7" t="n">
        <v>93.96</v>
      </c>
      <c r="F13" s="84" t="n">
        <f aca="false">SUM(B13/D13*E13)</f>
        <v>0.00415787167947748</v>
      </c>
      <c r="G13" s="7" t="n">
        <f aca="false">SUM(C13*12*1.302)</f>
        <v>208051.68384</v>
      </c>
      <c r="H13" s="46" t="n">
        <f aca="false">SUM(G13*F13)/B13</f>
        <v>432.526102052969</v>
      </c>
    </row>
    <row r="14" customFormat="false" ht="31.5" hidden="false" customHeight="false" outlineLevel="0" collapsed="false">
      <c r="A14" s="21" t="s">
        <v>44</v>
      </c>
      <c r="B14" s="7" t="n">
        <v>2</v>
      </c>
      <c r="C14" s="7" t="n">
        <v>13316.16</v>
      </c>
      <c r="D14" s="7" t="n">
        <v>45196.2</v>
      </c>
      <c r="E14" s="7" t="n">
        <v>93.96</v>
      </c>
      <c r="F14" s="84" t="n">
        <f aca="false">SUM(B14/D14*E14)</f>
        <v>0.00415787167947748</v>
      </c>
      <c r="G14" s="7" t="n">
        <f aca="false">SUM(C14*12*1.302)</f>
        <v>208051.68384</v>
      </c>
      <c r="H14" s="46" t="n">
        <f aca="false">SUM(G14*F14)/B14</f>
        <v>432.526102052969</v>
      </c>
    </row>
    <row r="15" customFormat="false" ht="15.75" hidden="false" customHeight="false" outlineLevel="0" collapsed="false">
      <c r="A15" s="21" t="s">
        <v>45</v>
      </c>
      <c r="B15" s="7" t="n">
        <v>1.75</v>
      </c>
      <c r="C15" s="7" t="n">
        <v>12124.2</v>
      </c>
      <c r="D15" s="7" t="n">
        <v>45196.2</v>
      </c>
      <c r="E15" s="7" t="n">
        <v>93.96</v>
      </c>
      <c r="F15" s="84" t="n">
        <f aca="false">SUM(B15/D15*E15)</f>
        <v>0.00363813771954279</v>
      </c>
      <c r="G15" s="7" t="n">
        <f aca="false">SUM(C15*12*1.302)</f>
        <v>189428.5008</v>
      </c>
      <c r="H15" s="46" t="n">
        <f aca="false">SUM(G15*F15)/B15</f>
        <v>393.809699381099</v>
      </c>
    </row>
    <row r="16" customFormat="false" ht="15.75" hidden="false" customHeight="false" outlineLevel="0" collapsed="false">
      <c r="A16" s="21" t="s">
        <v>46</v>
      </c>
      <c r="B16" s="7" t="n">
        <v>3</v>
      </c>
      <c r="C16" s="7" t="n">
        <v>18186.3</v>
      </c>
      <c r="D16" s="7" t="n">
        <v>45196.2</v>
      </c>
      <c r="E16" s="7" t="n">
        <v>93.96</v>
      </c>
      <c r="F16" s="84" t="n">
        <f aca="false">SUM(B16/D16)*E16</f>
        <v>0.00623680751921622</v>
      </c>
      <c r="G16" s="7" t="n">
        <f aca="false">SUM(C16*12*1.302)</f>
        <v>284142.7512</v>
      </c>
      <c r="H16" s="46" t="n">
        <f aca="false">SUM(G16*F16)/B16</f>
        <v>590.714549071648</v>
      </c>
    </row>
    <row r="17" customFormat="false" ht="31.5" hidden="false" customHeight="false" outlineLevel="0" collapsed="false">
      <c r="A17" s="21" t="s">
        <v>47</v>
      </c>
      <c r="B17" s="7" t="n">
        <v>3</v>
      </c>
      <c r="C17" s="7" t="n">
        <v>27279.45</v>
      </c>
      <c r="D17" s="7" t="n">
        <v>45196.2</v>
      </c>
      <c r="E17" s="7" t="n">
        <v>93.96</v>
      </c>
      <c r="F17" s="84" t="n">
        <f aca="false">SUM(B17/D17*E17)</f>
        <v>0.00623680751921622</v>
      </c>
      <c r="G17" s="7" t="n">
        <f aca="false">SUM(C17*12*1.302)</f>
        <v>426214.1268</v>
      </c>
      <c r="H17" s="46" t="n">
        <f aca="false">SUM(G17*F17)/B17</f>
        <v>886.071823607471</v>
      </c>
    </row>
    <row r="18" customFormat="false" ht="15.75" hidden="false" customHeight="false" outlineLevel="0" collapsed="false">
      <c r="A18" s="21" t="s">
        <v>48</v>
      </c>
      <c r="B18" s="7" t="n">
        <v>1</v>
      </c>
      <c r="C18" s="7" t="n">
        <v>6304.58</v>
      </c>
      <c r="D18" s="7" t="n">
        <v>45196.2</v>
      </c>
      <c r="E18" s="7" t="n">
        <v>93.96</v>
      </c>
      <c r="F18" s="84" t="n">
        <f aca="false">SUM(B18/D18*E18)</f>
        <v>0.00207893583973874</v>
      </c>
      <c r="G18" s="7" t="n">
        <f aca="false">SUM(C18*12*1.302)</f>
        <v>98502.75792</v>
      </c>
      <c r="H18" s="46" t="n">
        <f aca="false">SUM(G18*F18)/B18</f>
        <v>204.780913752997</v>
      </c>
    </row>
    <row r="19" customFormat="false" ht="15.75" hidden="false" customHeight="false" outlineLevel="0" collapsed="false">
      <c r="A19" s="21" t="s">
        <v>138</v>
      </c>
      <c r="B19" s="7" t="n">
        <v>0.5</v>
      </c>
      <c r="C19" s="7" t="n">
        <v>3031.05</v>
      </c>
      <c r="D19" s="7" t="n">
        <v>45196.2</v>
      </c>
      <c r="E19" s="7" t="n">
        <v>93.96</v>
      </c>
      <c r="F19" s="84" t="n">
        <f aca="false">SUM(B19/D19*E19)</f>
        <v>0.00103946791986937</v>
      </c>
      <c r="G19" s="7" t="n">
        <f aca="false">SUM(C19*12*1.302)</f>
        <v>47357.1252</v>
      </c>
      <c r="H19" s="46" t="n">
        <f aca="false">SUM(G19*F19)/B19</f>
        <v>98.4524248452746</v>
      </c>
    </row>
    <row r="20" customFormat="false" ht="15.75" hidden="false" customHeight="false" outlineLevel="0" collapsed="false">
      <c r="A20" s="21" t="s">
        <v>50</v>
      </c>
      <c r="B20" s="7" t="n">
        <v>1</v>
      </c>
      <c r="C20" s="7" t="n">
        <v>6062.1</v>
      </c>
      <c r="D20" s="7" t="n">
        <v>45196.2</v>
      </c>
      <c r="E20" s="7" t="n">
        <v>93.96</v>
      </c>
      <c r="F20" s="84" t="n">
        <f aca="false">SUM(B20/D20*E20)</f>
        <v>0.00207893583973874</v>
      </c>
      <c r="G20" s="7" t="n">
        <f aca="false">SUM(C20*12*1.302)</f>
        <v>94714.2504</v>
      </c>
      <c r="H20" s="46" t="n">
        <f aca="false">SUM(G20*F20)/B20</f>
        <v>196.904849690549</v>
      </c>
    </row>
    <row r="21" customFormat="false" ht="15.75" hidden="false" customHeight="false" outlineLevel="0" collapsed="false">
      <c r="A21" s="21" t="s">
        <v>51</v>
      </c>
      <c r="B21" s="7" t="n">
        <v>0.5</v>
      </c>
      <c r="C21" s="7" t="n">
        <v>3996.3</v>
      </c>
      <c r="D21" s="7" t="n">
        <v>45196.2</v>
      </c>
      <c r="E21" s="7" t="n">
        <v>93.96</v>
      </c>
      <c r="F21" s="84" t="n">
        <f aca="false">SUM(B21/D21*E21)</f>
        <v>0.00103946791986937</v>
      </c>
      <c r="G21" s="7" t="n">
        <f aca="false">SUM(C21*12*1.302)</f>
        <v>62438.1912</v>
      </c>
      <c r="H21" s="46" t="n">
        <f aca="false">SUM(G21*F21)/B21</f>
        <v>129.80499345414</v>
      </c>
    </row>
    <row r="22" s="50" customFormat="true" ht="16.5" hidden="false" customHeight="false" outlineLevel="0" collapsed="false">
      <c r="A22" s="85"/>
      <c r="B22" s="86" t="n">
        <f aca="false">SUM(B3:B21)</f>
        <v>23.75</v>
      </c>
      <c r="C22" s="86" t="n">
        <f aca="false">SUM(C3:C21)</f>
        <v>233609.91</v>
      </c>
      <c r="D22" s="86" t="n">
        <v>45196.2</v>
      </c>
      <c r="E22" s="23" t="n">
        <v>93.96</v>
      </c>
      <c r="F22" s="87" t="n">
        <f aca="false">SUM(B22)/(D22*E22)</f>
        <v>5.59266343079823E-006</v>
      </c>
      <c r="G22" s="88" t="n">
        <f aca="false">SUM(G3:G21)</f>
        <v>3649921.23384</v>
      </c>
      <c r="H22" s="89" t="n">
        <f aca="false">SUM(H3:H21)</f>
        <v>7587.95206525341</v>
      </c>
      <c r="I22" s="90"/>
    </row>
    <row r="23" s="50" customFormat="true" ht="114" hidden="false" customHeight="false" outlineLevel="0" collapsed="false">
      <c r="A23" s="91" t="s">
        <v>139</v>
      </c>
      <c r="B23" s="7" t="n">
        <v>21.75</v>
      </c>
      <c r="C23" s="7" t="n">
        <v>223344</v>
      </c>
      <c r="D23" s="7" t="n">
        <v>45196.2</v>
      </c>
      <c r="E23" s="7" t="n">
        <v>93.96</v>
      </c>
      <c r="F23" s="84" t="n">
        <f aca="false">SUM(B23/D23*E23)</f>
        <v>0.0452168545143176</v>
      </c>
      <c r="G23" s="7" t="n">
        <f aca="false">SUM(C23*12*1.302)</f>
        <v>3489526.656</v>
      </c>
      <c r="H23" s="46" t="n">
        <f aca="false">SUM(G23*F23)/B23</f>
        <v>7254.50202888207</v>
      </c>
      <c r="I23" s="90"/>
    </row>
    <row r="24" s="50" customFormat="true" ht="15" hidden="false" customHeight="false" outlineLevel="0" collapsed="false">
      <c r="A24" s="91"/>
      <c r="B24" s="7"/>
      <c r="C24" s="7"/>
      <c r="D24" s="7"/>
      <c r="E24" s="7"/>
      <c r="F24" s="84"/>
      <c r="G24" s="7"/>
      <c r="H24" s="46" t="n">
        <f aca="false">SUM(H23+H3+H4)</f>
        <v>9480.76209397937</v>
      </c>
      <c r="I24" s="90"/>
    </row>
    <row r="25" customFormat="false" ht="15" hidden="false" customHeight="false" outlineLevel="0" collapsed="false">
      <c r="A25" s="63" t="s">
        <v>140</v>
      </c>
      <c r="B25" s="27"/>
      <c r="C25" s="92" t="n">
        <v>6729.53</v>
      </c>
      <c r="D25" s="27"/>
      <c r="E25" s="27"/>
      <c r="F25" s="27"/>
      <c r="G25" s="36"/>
      <c r="H25" s="27"/>
      <c r="I25" s="93"/>
    </row>
    <row r="26" customFormat="false" ht="15" hidden="false" customHeight="false" outlineLevel="0" collapsed="false">
      <c r="A26" s="63" t="s">
        <v>141</v>
      </c>
      <c r="B26" s="27"/>
      <c r="C26" s="92" t="n">
        <v>3498</v>
      </c>
      <c r="D26" s="27"/>
      <c r="E26" s="27"/>
      <c r="F26" s="27"/>
      <c r="G26" s="36"/>
      <c r="H26" s="27"/>
    </row>
    <row r="27" customFormat="false" ht="15" hidden="false" customHeight="false" outlineLevel="0" collapsed="false">
      <c r="A27" s="63" t="s">
        <v>142</v>
      </c>
      <c r="B27" s="27"/>
      <c r="C27" s="31" t="n">
        <v>3211.7</v>
      </c>
      <c r="D27" s="27"/>
      <c r="E27" s="27"/>
      <c r="F27" s="27"/>
      <c r="G27" s="36"/>
      <c r="H27" s="27"/>
    </row>
    <row r="28" customFormat="false" ht="15" hidden="false" customHeight="false" outlineLevel="0" collapsed="false">
      <c r="A28" s="63" t="s">
        <v>143</v>
      </c>
      <c r="B28" s="27"/>
      <c r="C28" s="31" t="n">
        <v>45744</v>
      </c>
      <c r="D28" s="27"/>
      <c r="E28" s="27"/>
      <c r="F28" s="27"/>
      <c r="G28" s="36"/>
      <c r="H28" s="27"/>
    </row>
    <row r="29" customFormat="false" ht="15" hidden="false" customHeight="false" outlineLevel="0" collapsed="false">
      <c r="A29" s="63" t="s">
        <v>144</v>
      </c>
      <c r="B29" s="27"/>
      <c r="C29" s="27"/>
      <c r="D29" s="27"/>
      <c r="E29" s="27"/>
      <c r="F29" s="27"/>
      <c r="G29" s="27"/>
      <c r="H29" s="27" t="n">
        <v>304.31</v>
      </c>
    </row>
    <row r="30" customFormat="false" ht="15" hidden="false" customHeight="false" outlineLevel="0" collapsed="false">
      <c r="A30" s="27"/>
      <c r="B30" s="27"/>
      <c r="C30" s="27"/>
      <c r="D30" s="27"/>
      <c r="E30" s="27"/>
      <c r="F30" s="27"/>
      <c r="G30" s="27"/>
      <c r="H30" s="33"/>
    </row>
    <row r="31" customFormat="false" ht="15" hidden="false" customHeight="false" outlineLevel="0" collapsed="false">
      <c r="A31" s="14" t="s">
        <v>145</v>
      </c>
      <c r="B31" s="94"/>
      <c r="C31" s="94"/>
      <c r="D31" s="94"/>
      <c r="E31" s="94"/>
      <c r="F31" s="94"/>
      <c r="G31" s="94"/>
      <c r="H31" s="60" t="n">
        <f aca="false">H24+H29</f>
        <v>9785.07209397937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1:H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5"/>
  <sheetViews>
    <sheetView showFormulas="false" showGridLines="true" showRowColHeaders="true" showZeros="true" rightToLeft="false" tabSelected="false" showOutlineSymbols="true" defaultGridColor="true" view="normal" topLeftCell="B1" colorId="64" zoomScale="75" zoomScaleNormal="75" zoomScalePageLayoutView="100" workbookViewId="0">
      <selection pane="topLeft" activeCell="Q1" activeCellId="0" sqref="Q1"/>
    </sheetView>
  </sheetViews>
  <sheetFormatPr defaultRowHeight="15" zeroHeight="false" outlineLevelRow="0" outlineLevelCol="0"/>
  <cols>
    <col collapsed="false" customWidth="true" hidden="false" outlineLevel="0" max="1" min="1" style="26" width="54.14"/>
    <col collapsed="false" customWidth="true" hidden="false" outlineLevel="0" max="2" min="2" style="26" width="12.71"/>
    <col collapsed="false" customWidth="true" hidden="false" outlineLevel="0" max="3" min="3" style="26" width="11.14"/>
    <col collapsed="false" customWidth="true" hidden="false" outlineLevel="0" max="5" min="4" style="26" width="9.85"/>
    <col collapsed="false" customWidth="true" hidden="false" outlineLevel="0" max="6" min="6" style="26" width="13.14"/>
    <col collapsed="false" customWidth="true" hidden="false" outlineLevel="0" max="7" min="7" style="26" width="9.42"/>
    <col collapsed="false" customWidth="true" hidden="false" outlineLevel="0" max="9" min="8" style="26" width="9.71"/>
    <col collapsed="false" customWidth="true" hidden="false" outlineLevel="0" max="11" min="10" style="26" width="10.85"/>
    <col collapsed="false" customWidth="true" hidden="false" outlineLevel="0" max="12" min="12" style="26" width="29.42"/>
    <col collapsed="false" customWidth="true" hidden="true" outlineLevel="0" max="13" min="13" style="26" width="9.42"/>
    <col collapsed="false" customWidth="true" hidden="true" outlineLevel="0" max="14" min="14" style="26" width="11.14"/>
    <col collapsed="false" customWidth="true" hidden="true" outlineLevel="0" max="15" min="15" style="26" width="11.3"/>
    <col collapsed="false" customWidth="true" hidden="true" outlineLevel="0" max="16" min="16" style="26" width="11.14"/>
    <col collapsed="false" customWidth="true" hidden="false" outlineLevel="0" max="1025" min="17" style="26" width="9.13"/>
  </cols>
  <sheetData>
    <row r="1" customFormat="false" ht="15" hidden="false" customHeight="false" outlineLevel="0" collapsed="false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customFormat="false" ht="15" hidden="false" customHeight="false" outlineLevel="0" collapsed="false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customFormat="false" ht="16.5" hidden="false" customHeight="false" outlineLevel="0" collapsed="false">
      <c r="A3" s="95" t="s">
        <v>146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customFormat="false" ht="32.25" hidden="false" customHeight="true" outlineLevel="0" collapsed="false">
      <c r="A4" s="96" t="s">
        <v>147</v>
      </c>
      <c r="B4" s="97" t="s">
        <v>148</v>
      </c>
      <c r="C4" s="97"/>
      <c r="D4" s="97"/>
      <c r="E4" s="98" t="s">
        <v>149</v>
      </c>
      <c r="F4" s="98"/>
      <c r="G4" s="98"/>
      <c r="H4" s="98"/>
      <c r="I4" s="98"/>
      <c r="J4" s="98"/>
      <c r="K4" s="98"/>
      <c r="L4" s="99" t="s">
        <v>150</v>
      </c>
    </row>
    <row r="5" customFormat="false" ht="31.5" hidden="false" customHeight="false" outlineLevel="0" collapsed="false">
      <c r="A5" s="96"/>
      <c r="B5" s="100" t="s">
        <v>151</v>
      </c>
      <c r="C5" s="101" t="s">
        <v>152</v>
      </c>
      <c r="D5" s="101" t="s">
        <v>153</v>
      </c>
      <c r="E5" s="101" t="s">
        <v>154</v>
      </c>
      <c r="F5" s="101" t="s">
        <v>155</v>
      </c>
      <c r="G5" s="101" t="s">
        <v>156</v>
      </c>
      <c r="H5" s="101" t="s">
        <v>157</v>
      </c>
      <c r="I5" s="101" t="s">
        <v>158</v>
      </c>
      <c r="J5" s="101" t="s">
        <v>159</v>
      </c>
      <c r="K5" s="101" t="s">
        <v>160</v>
      </c>
      <c r="L5" s="99"/>
    </row>
    <row r="6" customFormat="false" ht="15.75" hidden="false" customHeight="false" outlineLevel="0" collapsed="false">
      <c r="A6" s="102" t="n">
        <v>1</v>
      </c>
      <c r="B6" s="103" t="n">
        <v>2</v>
      </c>
      <c r="C6" s="104" t="n">
        <v>3</v>
      </c>
      <c r="D6" s="104" t="n">
        <v>4</v>
      </c>
      <c r="E6" s="104" t="n">
        <v>5</v>
      </c>
      <c r="F6" s="104" t="n">
        <v>6</v>
      </c>
      <c r="G6" s="104" t="n">
        <v>7</v>
      </c>
      <c r="H6" s="104" t="n">
        <v>8</v>
      </c>
      <c r="I6" s="104" t="n">
        <v>9</v>
      </c>
      <c r="J6" s="104" t="n">
        <v>10</v>
      </c>
      <c r="K6" s="104" t="n">
        <v>11</v>
      </c>
      <c r="L6" s="44" t="s">
        <v>161</v>
      </c>
    </row>
    <row r="7" customFormat="false" ht="91.5" hidden="false" customHeight="true" outlineLevel="0" collapsed="false">
      <c r="A7" s="105" t="s">
        <v>162</v>
      </c>
      <c r="B7" s="106" t="n">
        <f aca="false">'Заработная плата'!H15</f>
        <v>15485.1473130667</v>
      </c>
      <c r="C7" s="107" t="n">
        <f aca="false">SUM('Материальные затраты и ОЦДИ'!B7)</f>
        <v>0</v>
      </c>
      <c r="D7" s="107" t="n">
        <v>0</v>
      </c>
      <c r="E7" s="107" t="n">
        <f aca="false">SUM('Оплата КУ'!N10)</f>
        <v>3135.76666666667</v>
      </c>
      <c r="F7" s="107" t="n">
        <f aca="false">SUM('Содержание объектов недв.имущ.'!H18)</f>
        <v>1132.83693939394</v>
      </c>
      <c r="G7" s="107" t="n">
        <f aca="false">SUM('Содержание объектов,связь, тран'!I5)</f>
        <v>22.2</v>
      </c>
      <c r="H7" s="107" t="n">
        <f aca="false">SUM('Содержание объектов,связь, тран'!I13)</f>
        <v>157.999123820144</v>
      </c>
      <c r="I7" s="107" t="n">
        <f aca="false">SUM('Содержание объектов,связь, тран'!I20)</f>
        <v>49.478672985782</v>
      </c>
      <c r="J7" s="107" t="n">
        <f aca="false">SUM('Зп не связ. с оказ.услуги '!H31)</f>
        <v>9785.07209397937</v>
      </c>
      <c r="K7" s="107" t="n">
        <f aca="false">SUM('Прочие общехозяйственные нужды'!B7)</f>
        <v>0</v>
      </c>
      <c r="L7" s="108" t="n">
        <f aca="false">B7+C7+D7+E7+F7+G7+H7+I7+J7+K7</f>
        <v>29768.5008099126</v>
      </c>
      <c r="M7" s="26" t="n">
        <v>406</v>
      </c>
      <c r="N7" s="26" t="n">
        <f aca="false">SUM(L7*M7)</f>
        <v>12086011.3288245</v>
      </c>
      <c r="O7" s="26" t="n">
        <f aca="false">SUM(B7+C7+D7+G7+H7+I7+J7+K7)*406+(E7+F7)*315</f>
        <v>11697568.400673</v>
      </c>
    </row>
    <row r="8" customFormat="false" ht="105" hidden="false" customHeight="true" outlineLevel="0" collapsed="false">
      <c r="A8" s="109" t="s">
        <v>73</v>
      </c>
      <c r="B8" s="106" t="n">
        <f aca="false">'Заработная плата'!H15</f>
        <v>15485.1473130667</v>
      </c>
      <c r="C8" s="107" t="n">
        <f aca="false">SUM('Материальные затраты и ОЦДИ'!B7)</f>
        <v>0</v>
      </c>
      <c r="D8" s="107" t="n">
        <v>0</v>
      </c>
      <c r="E8" s="10" t="n">
        <f aca="false">SUM('Оплата КУ'!N16)</f>
        <v>3196.3027027027</v>
      </c>
      <c r="F8" s="10" t="n">
        <f aca="false">SUM('Содержание объектов недв.имущ.'!H35)</f>
        <v>1154.70637837838</v>
      </c>
      <c r="G8" s="107" t="n">
        <f aca="false">SUM('Содержание объектов,связь, тран'!I5)</f>
        <v>22.2</v>
      </c>
      <c r="H8" s="107" t="n">
        <f aca="false">SUM('Содержание объектов,связь, тран'!I13)</f>
        <v>157.999123820144</v>
      </c>
      <c r="I8" s="107" t="n">
        <f aca="false">SUM('Содержание объектов,связь, тран'!I20)</f>
        <v>49.478672985782</v>
      </c>
      <c r="J8" s="107" t="n">
        <f aca="false">SUM('Зп не связ. с оказ.услуги '!H31)</f>
        <v>9785.07209397937</v>
      </c>
      <c r="K8" s="107" t="n">
        <f aca="false">SUM('Прочие общехозяйственные нужды'!B7)</f>
        <v>0</v>
      </c>
      <c r="L8" s="108" t="n">
        <f aca="false">B8+C8+D8+E8+F8+G8+H8+I8+J8+K8</f>
        <v>29850.906284933</v>
      </c>
      <c r="M8" s="26" t="n">
        <v>99</v>
      </c>
      <c r="N8" s="26" t="n">
        <f aca="false">SUM(L8*M8)</f>
        <v>2955239.72220837</v>
      </c>
      <c r="O8" s="26" t="n">
        <f aca="false">SUM(B8+C8+D8+G8+H8+I8+J8+K8)*99+(E8+F8)*26</f>
        <v>2637616.05928945</v>
      </c>
    </row>
    <row r="9" customFormat="false" ht="99.75" hidden="false" customHeight="true" outlineLevel="0" collapsed="false">
      <c r="A9" s="109" t="s">
        <v>74</v>
      </c>
      <c r="B9" s="106" t="n">
        <f aca="false">'Заработная плата'!H15</f>
        <v>15485.1473130667</v>
      </c>
      <c r="C9" s="107" t="n">
        <f aca="false">SUM('Материальные затраты и ОЦДИ'!B7)</f>
        <v>0</v>
      </c>
      <c r="D9" s="107" t="n">
        <v>0</v>
      </c>
      <c r="E9" s="10" t="n">
        <f aca="false">SUM('Оплата КУ'!N22)</f>
        <v>3079.77083333333</v>
      </c>
      <c r="F9" s="10" t="n">
        <f aca="false">SUM('Содержание объектов недв.имущ.'!H52)</f>
        <v>1112.60770833333</v>
      </c>
      <c r="G9" s="107" t="n">
        <f aca="false">SUM('Содержание объектов,связь, тран'!I5)</f>
        <v>22.2</v>
      </c>
      <c r="H9" s="107" t="n">
        <f aca="false">SUM('Содержание объектов,связь, тран'!I13)</f>
        <v>157.999123820144</v>
      </c>
      <c r="I9" s="107" t="n">
        <f aca="false">SUM('Содержание объектов,связь, тран'!I20)</f>
        <v>49.478672985782</v>
      </c>
      <c r="J9" s="107" t="n">
        <f aca="false">SUM('Зп не связ. с оказ.услуги '!H31)</f>
        <v>9785.07209397937</v>
      </c>
      <c r="K9" s="107" t="n">
        <f aca="false">SUM('Прочие общехозяйственные нужды'!B7)</f>
        <v>0</v>
      </c>
      <c r="L9" s="108" t="n">
        <f aca="false">B9+C9+D9+E9+F9+G9+H9+I9+J9+K9</f>
        <v>29692.2757455186</v>
      </c>
      <c r="M9" s="26" t="n">
        <v>88</v>
      </c>
      <c r="N9" s="26" t="n">
        <f aca="false">SUM(L9*M9)</f>
        <v>2612920.26560564</v>
      </c>
      <c r="O9" s="26" t="n">
        <f aca="false">SUM(B9+C9+D9+G9+H9+I9+J9+K9)*88+(E9+F9)*42</f>
        <v>2420070.85268897</v>
      </c>
    </row>
    <row r="10" customFormat="false" ht="47.25" hidden="false" customHeight="false" outlineLevel="0" collapsed="false">
      <c r="A10" s="109" t="s">
        <v>75</v>
      </c>
      <c r="B10" s="106" t="n">
        <f aca="false">'Заработная плата'!H15</f>
        <v>15485.1473130667</v>
      </c>
      <c r="C10" s="107" t="n">
        <f aca="false">SUM('Материальные затраты и ОЦДИ'!B7)</f>
        <v>0</v>
      </c>
      <c r="D10" s="107" t="n">
        <v>0</v>
      </c>
      <c r="E10" s="10" t="n">
        <f aca="false">SUM('Оплата КУ'!N28)</f>
        <v>3112.18947368421</v>
      </c>
      <c r="F10" s="10" t="n">
        <f aca="false">SUM('Содержание объектов недв.имущ.'!H69)</f>
        <v>1124.31936842105</v>
      </c>
      <c r="G10" s="107" t="n">
        <f aca="false">SUM('Содержание объектов,связь, тран'!I5)</f>
        <v>22.2</v>
      </c>
      <c r="H10" s="107" t="n">
        <f aca="false">SUM('Содержание объектов,связь, тран'!I13)</f>
        <v>157.999123820144</v>
      </c>
      <c r="I10" s="107" t="n">
        <f aca="false">SUM('Содержание объектов,связь, тран'!I20)</f>
        <v>49.478672985782</v>
      </c>
      <c r="J10" s="107" t="n">
        <f aca="false">SUM('Зп не связ. с оказ.услуги '!H31)</f>
        <v>9785.07209397937</v>
      </c>
      <c r="K10" s="107" t="n">
        <f aca="false">SUM('Прочие общехозяйственные нужды'!B7)</f>
        <v>0</v>
      </c>
      <c r="L10" s="108" t="n">
        <f aca="false">B10+C10+D10+E10+F10+G10+H10+I10+J10+K10</f>
        <v>29736.4060459572</v>
      </c>
      <c r="M10" s="26" t="n">
        <v>61</v>
      </c>
      <c r="N10" s="26" t="n">
        <f aca="false">SUM(L10*M10)</f>
        <v>1813920.76880339</v>
      </c>
      <c r="O10" s="26" t="n">
        <f aca="false">SUM(B10+C10+D10+G10+H10+I10+J10+K10)*61+(E10+F10)*34</f>
        <v>1699535.03006655</v>
      </c>
    </row>
    <row r="11" customFormat="false" ht="48" hidden="false" customHeight="false" outlineLevel="0" collapsed="false">
      <c r="A11" s="110" t="s">
        <v>163</v>
      </c>
      <c r="B11" s="111" t="n">
        <f aca="false">'Заработная плата'!H15</f>
        <v>15485.1473130667</v>
      </c>
      <c r="C11" s="112" t="n">
        <f aca="false">SUM('Материальные затраты и ОЦДИ'!B7)</f>
        <v>0</v>
      </c>
      <c r="D11" s="112" t="n">
        <v>0</v>
      </c>
      <c r="E11" s="113" t="n">
        <f aca="false">SUM('Оплата КУ'!N34)</f>
        <v>3135.80166666667</v>
      </c>
      <c r="F11" s="113" t="n">
        <f aca="false">SUM('Содержание объектов недв.имущ.'!H86)</f>
        <v>661.389696969697</v>
      </c>
      <c r="G11" s="112" t="n">
        <f aca="false">SUM('Содержание объектов,связь, тран'!I5)</f>
        <v>22.2</v>
      </c>
      <c r="H11" s="112" t="n">
        <f aca="false">SUM('Содержание объектов,связь, тран'!I13)</f>
        <v>157.999123820144</v>
      </c>
      <c r="I11" s="112" t="n">
        <f aca="false">SUM('Содержание объектов,связь, тран'!I20)</f>
        <v>49.478672985782</v>
      </c>
      <c r="J11" s="112" t="n">
        <f aca="false">SUM('Зп не связ. с оказ.услуги '!H31)</f>
        <v>9785.07209397937</v>
      </c>
      <c r="K11" s="112" t="n">
        <f aca="false">SUM('Прочие общехозяйственные нужды'!B7)</f>
        <v>0</v>
      </c>
      <c r="L11" s="114" t="n">
        <f aca="false">B11+C11+D11+E11+F11+G11+H11+I11+J11+K11</f>
        <v>29297.0885674883</v>
      </c>
      <c r="M11" s="26" t="n">
        <v>21</v>
      </c>
      <c r="N11" s="26" t="n">
        <f aca="false">SUM(L11*M11)</f>
        <v>615238.859917255</v>
      </c>
      <c r="O11" s="26" t="n">
        <f aca="false">SUM(B11+C11+D11+G11+H11+I11+J11+K11)*21+(E11+F11)*24</f>
        <v>626630.434008164</v>
      </c>
    </row>
    <row r="12" customFormat="false" ht="15" hidden="false" customHeight="false" outlineLevel="0" collapsed="false">
      <c r="L12" s="115"/>
      <c r="M12" s="26" t="n">
        <f aca="false">SUM(M7:M11)</f>
        <v>675</v>
      </c>
      <c r="N12" s="26" t="n">
        <f aca="false">SUM(N7:N11)</f>
        <v>20083330.9453592</v>
      </c>
      <c r="O12" s="26" t="n">
        <f aca="false">SUM(O7:O11)</f>
        <v>19081420.7767261</v>
      </c>
    </row>
    <row r="13" customFormat="false" ht="15" hidden="false" customHeight="false" outlineLevel="0" collapsed="false">
      <c r="B13" s="116"/>
      <c r="L13" s="117"/>
      <c r="O13" s="26" t="n">
        <f aca="false">SUM(O12/N12)</f>
        <v>0.950112350816758</v>
      </c>
    </row>
    <row r="14" customFormat="false" ht="15" hidden="false" customHeight="false" outlineLevel="0" collapsed="false">
      <c r="O14" s="118"/>
    </row>
    <row r="15" customFormat="false" ht="15" hidden="false" customHeight="false" outlineLevel="0" collapsed="false">
      <c r="O15" s="26" t="n">
        <f aca="false">SUM(O12-O14)</f>
        <v>19081420.7767261</v>
      </c>
      <c r="P15" s="26" t="n">
        <f aca="false">SUM(O15*0.9)</f>
        <v>17173278.6990535</v>
      </c>
    </row>
  </sheetData>
  <mergeCells count="5">
    <mergeCell ref="A3:L3"/>
    <mergeCell ref="A4:A5"/>
    <mergeCell ref="B4:D4"/>
    <mergeCell ref="E4:K4"/>
    <mergeCell ref="L4:L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431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2018-11-15T17:29:23Z</cp:lastPrinted>
  <dcterms:modified xsi:type="dcterms:W3CDTF">2018-11-15T18:33:27Z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