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субвенция на вырав.из РК" sheetId="4" r:id="rId1"/>
    <sheet name="Расчет ИБР" sheetId="3" r:id="rId2"/>
    <sheet name="Расчет дотации" sheetId="1" r:id="rId3"/>
    <sheet name="Лист2" sheetId="2" r:id="rId4"/>
  </sheets>
  <definedNames>
    <definedName name="_xlnm.Print_Area" localSheetId="2">'Расчет дотации'!$A$1:$U$30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24" i="1" l="1"/>
  <c r="U23" i="1"/>
  <c r="U22" i="1"/>
  <c r="U21" i="1"/>
  <c r="U20" i="1"/>
  <c r="O20" i="1" l="1"/>
  <c r="G9" i="1"/>
  <c r="G14" i="1"/>
  <c r="D12" i="3" l="1"/>
  <c r="P12" i="3"/>
  <c r="G11" i="3"/>
  <c r="G10" i="3"/>
  <c r="G9" i="3"/>
  <c r="G8" i="3"/>
  <c r="G7" i="3"/>
  <c r="O11" i="3" l="1"/>
  <c r="O10" i="3"/>
  <c r="O9" i="3"/>
  <c r="O7" i="3"/>
  <c r="K8" i="3"/>
  <c r="E8" i="3" s="1"/>
  <c r="K7" i="3"/>
  <c r="K9" i="3"/>
  <c r="K10" i="3"/>
  <c r="E10" i="3" s="1"/>
  <c r="K11" i="3"/>
  <c r="E9" i="3"/>
  <c r="E11" i="3"/>
  <c r="M11" i="3"/>
  <c r="M10" i="3"/>
  <c r="M9" i="3"/>
  <c r="M8" i="3"/>
  <c r="M7" i="3"/>
  <c r="E7" i="3" s="1"/>
  <c r="L12" i="3"/>
  <c r="D15" i="4" l="1"/>
  <c r="U25" i="1"/>
  <c r="D11" i="4"/>
  <c r="C16" i="4"/>
  <c r="E15" i="4" s="1"/>
  <c r="D12" i="4" l="1"/>
  <c r="E12" i="4" s="1"/>
  <c r="D14" i="4"/>
  <c r="E14" i="4" s="1"/>
  <c r="D13" i="4"/>
  <c r="E13" i="4" s="1"/>
  <c r="J12" i="3"/>
  <c r="I13" i="3"/>
  <c r="D16" i="4" l="1"/>
  <c r="E11" i="4"/>
  <c r="I12" i="3"/>
  <c r="N12" i="3"/>
  <c r="D7" i="3"/>
  <c r="C7" i="3"/>
  <c r="O8" i="3" l="1"/>
  <c r="E16" i="4"/>
  <c r="F11" i="4" s="1"/>
  <c r="C12" i="3"/>
  <c r="B11" i="3" s="1"/>
  <c r="R11" i="3" s="1"/>
  <c r="H23" i="1" s="1"/>
  <c r="F12" i="4" l="1"/>
  <c r="O21" i="1" s="1"/>
  <c r="F15" i="4"/>
  <c r="O24" i="1" s="1"/>
  <c r="F13" i="4"/>
  <c r="O22" i="1" s="1"/>
  <c r="F14" i="4"/>
  <c r="O23" i="1" s="1"/>
  <c r="B10" i="3"/>
  <c r="R10" i="3" s="1"/>
  <c r="H24" i="1" s="1"/>
  <c r="B9" i="3"/>
  <c r="R9" i="3" s="1"/>
  <c r="H22" i="1" s="1"/>
  <c r="B7" i="3"/>
  <c r="R7" i="3" s="1"/>
  <c r="H20" i="1" s="1"/>
  <c r="B8" i="3"/>
  <c r="R8" i="3" s="1"/>
  <c r="H21" i="1" s="1"/>
  <c r="F26" i="1"/>
  <c r="D26" i="1"/>
  <c r="S20" i="1"/>
  <c r="G10" i="1"/>
  <c r="O26" i="1" l="1"/>
  <c r="G20" i="1"/>
  <c r="G15" i="1"/>
  <c r="G22" i="1"/>
  <c r="I22" i="1" s="1"/>
  <c r="G21" i="1"/>
  <c r="I21" i="1" s="1"/>
  <c r="T20" i="1"/>
  <c r="G24" i="1"/>
  <c r="I24" i="1" s="1"/>
  <c r="G23" i="1"/>
  <c r="I23" i="1" s="1"/>
  <c r="G26" i="1"/>
  <c r="K21" i="1" l="1"/>
  <c r="L21" i="1" s="1"/>
  <c r="K23" i="1"/>
  <c r="L23" i="1" s="1"/>
  <c r="K22" i="1"/>
  <c r="L22" i="1" s="1"/>
  <c r="K24" i="1"/>
  <c r="L24" i="1" s="1"/>
  <c r="J23" i="1"/>
  <c r="J22" i="1"/>
  <c r="J21" i="1"/>
  <c r="I20" i="1"/>
  <c r="Q20" i="1"/>
  <c r="J24" i="1"/>
  <c r="K26" i="1" l="1"/>
  <c r="A30" i="1"/>
  <c r="M21" i="1" s="1"/>
  <c r="P21" i="1" s="1"/>
  <c r="I26" i="1"/>
  <c r="J20" i="1"/>
  <c r="M22" i="1" l="1"/>
  <c r="N22" i="1" s="1"/>
  <c r="M23" i="1"/>
  <c r="M24" i="1"/>
  <c r="N21" i="1"/>
  <c r="P22" i="1" l="1"/>
  <c r="Q22" i="1" s="1"/>
  <c r="N24" i="1"/>
  <c r="P24" i="1"/>
  <c r="Q24" i="1" s="1"/>
  <c r="N23" i="1"/>
  <c r="P23" i="1"/>
  <c r="Q23" i="1" s="1"/>
  <c r="M26" i="1"/>
  <c r="Q21" i="1"/>
  <c r="R23" i="1" l="1"/>
  <c r="S23" i="1" s="1"/>
  <c r="R22" i="1"/>
  <c r="S22" i="1" s="1"/>
  <c r="P26" i="1"/>
  <c r="R21" i="1"/>
  <c r="T21" i="1" s="1"/>
  <c r="R24" i="1"/>
  <c r="T22" i="1" l="1"/>
  <c r="S24" i="1"/>
  <c r="T24" i="1"/>
  <c r="S21" i="1"/>
  <c r="T23" i="1"/>
  <c r="U26" i="1" l="1"/>
  <c r="S26" i="1"/>
</calcChain>
</file>

<file path=xl/sharedStrings.xml><?xml version="1.0" encoding="utf-8"?>
<sst xmlns="http://schemas.openxmlformats.org/spreadsheetml/2006/main" count="88" uniqueCount="73">
  <si>
    <t>к пояснительной записке к проекту бюджета</t>
  </si>
  <si>
    <t>расчетный уровень критерия выравнивания</t>
  </si>
  <si>
    <t>Недостающий объем дотаций на выравнивание бюджетной обеспеченности поселений всего,     в т.ч.:</t>
  </si>
  <si>
    <t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</si>
  <si>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>объем дотации на выравнивание бюджетной обеспеченности поселенияй за счет дотации из бюджета Республики Карелия</t>
  </si>
  <si>
    <t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</si>
  <si>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>уровень критерия выравнивания</t>
  </si>
  <si>
    <t>№</t>
  </si>
  <si>
    <t>поселение</t>
  </si>
  <si>
    <t>численность населения</t>
  </si>
  <si>
    <t xml:space="preserve">налоговый потенциал </t>
  </si>
  <si>
    <t>индекс налогового потенциала</t>
  </si>
  <si>
    <t>индекс бюджетных расходов</t>
  </si>
  <si>
    <t>уровень бюджетной обеспеченности до выравнивания</t>
  </si>
  <si>
    <t>Уровень бюджетной обеспеченности c учетом недостающих средств</t>
  </si>
  <si>
    <t>Распределение субвенции РК на выравнивание поселений</t>
  </si>
  <si>
    <t>Распределение объема дотации бюджета района на выравнивание поселений</t>
  </si>
  <si>
    <t>Распределение дотации на выравнивание поселений</t>
  </si>
  <si>
    <t>Уровень бюджетной обеспеченности после выравнивания</t>
  </si>
  <si>
    <t>1.</t>
  </si>
  <si>
    <t>ЛГП</t>
  </si>
  <si>
    <t>2.</t>
  </si>
  <si>
    <t>КСП</t>
  </si>
  <si>
    <t>3.</t>
  </si>
  <si>
    <t>МСП</t>
  </si>
  <si>
    <t>4.</t>
  </si>
  <si>
    <t>ЭСП</t>
  </si>
  <si>
    <t>5.</t>
  </si>
  <si>
    <t>ХСП</t>
  </si>
  <si>
    <t>итого район</t>
  </si>
  <si>
    <t xml:space="preserve">                                        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</si>
  <si>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</si>
  <si>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</si>
  <si>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</si>
  <si>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</si>
  <si>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</si>
  <si>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Корректирующий коэффициент стоимости коммунальных услуг</t>
  </si>
  <si>
    <t>Водоснабжение (рублей/куб.м)</t>
  </si>
  <si>
    <t>Водоотведение (рублей/куб.м)</t>
  </si>
  <si>
    <t>исходные данные</t>
  </si>
  <si>
    <t>Плотность населения</t>
  </si>
  <si>
    <t>Удаленность поселков от районного центра</t>
  </si>
  <si>
    <t>чел. на 1 кв.км</t>
  </si>
  <si>
    <t>коэффициент</t>
  </si>
  <si>
    <t>км</t>
  </si>
  <si>
    <t>в т.ч. на селе</t>
  </si>
  <si>
    <t>Население</t>
  </si>
  <si>
    <t>коэффициент расселения</t>
  </si>
  <si>
    <t>тыс. рублей</t>
  </si>
  <si>
    <t>численность населения, чел.</t>
  </si>
  <si>
    <t>коэффициент численности населения поселения к численности муниципального района</t>
  </si>
  <si>
    <t>1/коэффициент численности населения поселения к численности муниципального района</t>
  </si>
  <si>
    <t>Итого</t>
  </si>
  <si>
    <t>Лахденпохского муниципального района на 2021 год</t>
  </si>
  <si>
    <t>и плановый период 2022 и 2023 годов</t>
  </si>
  <si>
    <t>площадь, кв.км</t>
  </si>
  <si>
    <t>коэффициент, учитывающий структуру населения</t>
  </si>
  <si>
    <t>кол-во жителей, проживающих в населенных пунктах с чиленностью менее 500 человек, чел.</t>
  </si>
  <si>
    <t>численность постоянного населения по состоянию на 01.01.2020г., чел.</t>
  </si>
  <si>
    <t>численность населения до 17 лет, чел.</t>
  </si>
  <si>
    <t>коэффициент, учитывающий плотность населения</t>
  </si>
  <si>
    <t>Интегральный коэффициент</t>
  </si>
  <si>
    <t>коэффициент удаленности</t>
  </si>
  <si>
    <t>Индекс бюджетных расходов</t>
  </si>
  <si>
    <t>Объем средств, недостающих до уровня бюджетной обеспеченности 1,22</t>
  </si>
  <si>
    <t xml:space="preserve">Распределение дотации на выравнивание </t>
  </si>
  <si>
    <t>Уровень бюджетной обеспеченности после распределения</t>
  </si>
  <si>
    <t>объем дотации (осуществление государственных полномочий Республики Карелия по расчету и предоставлению дотаций бюджетам городских и сельских поселений) на 2023 год
(1/ (Наспi / Нас)) / ∑ (1/ (Наспi / Нас)) х Сп)</t>
  </si>
  <si>
    <t>Расчет и распределение дотации на выравнивание поселений Лахденпохского муниципального района на 2023 год</t>
  </si>
  <si>
    <t>Приложение 9</t>
  </si>
  <si>
    <t>Объем средств, недостающих до уровня бюджетной обеспеченности 1,16</t>
  </si>
  <si>
    <t>Справочно, отклонение к уровню 2022г.(+/-)</t>
  </si>
  <si>
    <t>Расчет распределения субвенций бюджетам муниципальных районов на осуществление государственных полномочий по расчету и предоставлению дотаций бюджетам поселений, входящих в состав Лахденпохского муниципального района,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</si>
</sst>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0"/>
    <numFmt numFmtId="166" formatCode="0.00000"/>
    <numFmt numFmtId="167" formatCode="#,##0.0000"/>
    <numFmt numFmtId="168" formatCode="#,##0.0"/>
  </numFmts>
  <fonts count="20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31">
    <xf numFmtId="0" fontId="0" fillId="0" borderId="0" xfId="0"/>
    <xf numFmtId="0" fontId="7" fillId="0" borderId="0" xfId="1"/>
    <xf numFmtId="0" fontId="16" fillId="0" borderId="0" xfId="2" applyFont="1" applyBorder="1" applyAlignment="1">
      <alignment horizontal="right"/>
    </xf>
    <xf numFmtId="0" fontId="16" fillId="0" borderId="0" xfId="1" applyFont="1"/>
    <xf numFmtId="0" fontId="16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1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center"/>
    </xf>
    <xf numFmtId="0" fontId="15" fillId="0" borderId="0" xfId="2"/>
    <xf numFmtId="0" fontId="3" fillId="0" borderId="0" xfId="1" applyFont="1" applyAlignment="1">
      <alignment horizontal="right"/>
    </xf>
    <xf numFmtId="4" fontId="3" fillId="0" borderId="2" xfId="1" applyNumberFormat="1" applyFont="1" applyBorder="1" applyAlignment="1">
      <alignment horizontal="center" vertical="center" wrapText="1"/>
    </xf>
    <xf numFmtId="0" fontId="0" fillId="0" borderId="0" xfId="0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4" fontId="4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3" fontId="3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8" fillId="0" borderId="0" xfId="0" applyFont="1" applyAlignment="1" applyProtection="1">
      <alignment vertical="top"/>
      <protection hidden="1"/>
    </xf>
    <xf numFmtId="2" fontId="3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wrapText="1"/>
      <protection hidden="1"/>
    </xf>
    <xf numFmtId="2" fontId="3" fillId="0" borderId="0" xfId="0" applyNumberFormat="1" applyFont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164" fontId="6" fillId="0" borderId="2" xfId="0" applyNumberFormat="1" applyFont="1" applyFill="1" applyBorder="1" applyAlignment="1" applyProtection="1">
      <alignment horizontal="center"/>
      <protection hidden="1"/>
    </xf>
    <xf numFmtId="165" fontId="3" fillId="0" borderId="2" xfId="0" applyNumberFormat="1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 wrapText="1"/>
      <protection hidden="1"/>
    </xf>
    <xf numFmtId="4" fontId="3" fillId="0" borderId="2" xfId="0" applyNumberFormat="1" applyFont="1" applyBorder="1" applyAlignment="1" applyProtection="1">
      <alignment horizontal="center" vertical="center" wrapText="1"/>
      <protection hidden="1"/>
    </xf>
    <xf numFmtId="3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4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Border="1" applyAlignment="1" applyProtection="1">
      <alignment horizontal="center" vertical="center" wrapText="1"/>
      <protection hidden="1"/>
    </xf>
    <xf numFmtId="1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0" applyNumberFormat="1" applyFont="1" applyBorder="1" applyAlignment="1" applyProtection="1">
      <alignment horizontal="center" vertical="center" wrapText="1"/>
      <protection hidden="1"/>
    </xf>
    <xf numFmtId="1" fontId="3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3" fillId="0" borderId="0" xfId="0" applyNumberFormat="1" applyFont="1" applyBorder="1" applyAlignment="1" applyProtection="1">
      <alignment horizontal="center" vertical="center"/>
      <protection hidden="1"/>
    </xf>
    <xf numFmtId="165" fontId="3" fillId="0" borderId="0" xfId="0" applyNumberFormat="1" applyFont="1" applyBorder="1" applyAlignment="1" applyProtection="1">
      <alignment horizontal="center" vertical="center" wrapText="1"/>
      <protection hidden="1"/>
    </xf>
    <xf numFmtId="1" fontId="3" fillId="0" borderId="0" xfId="0" applyNumberFormat="1" applyFont="1" applyBorder="1" applyAlignment="1" applyProtection="1">
      <alignment horizontal="center" vertical="center" wrapText="1"/>
      <protection hidden="1"/>
    </xf>
    <xf numFmtId="168" fontId="3" fillId="0" borderId="2" xfId="0" applyNumberFormat="1" applyFont="1" applyBorder="1" applyAlignment="1" applyProtection="1">
      <alignment horizontal="center" vertical="center" wrapText="1"/>
      <protection hidden="1"/>
    </xf>
    <xf numFmtId="1" fontId="8" fillId="0" borderId="0" xfId="0" applyNumberFormat="1" applyFont="1" applyBorder="1" applyAlignment="1" applyProtection="1">
      <alignment horizontal="center" vertical="center" wrapText="1"/>
      <protection hidden="1"/>
    </xf>
    <xf numFmtId="3" fontId="8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3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164" fontId="6" fillId="0" borderId="4" xfId="0" applyNumberFormat="1" applyFont="1" applyFill="1" applyBorder="1" applyAlignment="1" applyProtection="1">
      <alignment horizontal="center"/>
      <protection hidden="1"/>
    </xf>
    <xf numFmtId="165" fontId="3" fillId="0" borderId="4" xfId="0" applyNumberFormat="1" applyFont="1" applyBorder="1" applyAlignment="1" applyProtection="1">
      <alignment horizontal="center" vertical="center" wrapText="1"/>
      <protection hidden="1"/>
    </xf>
    <xf numFmtId="3" fontId="3" fillId="0" borderId="4" xfId="0" applyNumberFormat="1" applyFont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0" applyNumberFormat="1" applyFont="1" applyBorder="1" applyAlignment="1" applyProtection="1">
      <alignment horizontal="center" vertical="center" wrapText="1"/>
      <protection hidden="1"/>
    </xf>
    <xf numFmtId="168" fontId="4" fillId="0" borderId="4" xfId="0" applyNumberFormat="1" applyFont="1" applyBorder="1" applyAlignment="1" applyProtection="1">
      <alignment horizontal="center" vertical="center" wrapText="1"/>
      <protection hidden="1"/>
    </xf>
    <xf numFmtId="1" fontId="3" fillId="0" borderId="4" xfId="0" applyNumberFormat="1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3" fontId="3" fillId="0" borderId="5" xfId="0" applyNumberFormat="1" applyFont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hidden="1"/>
    </xf>
    <xf numFmtId="168" fontId="3" fillId="0" borderId="5" xfId="0" applyNumberFormat="1" applyFont="1" applyBorder="1" applyAlignment="1" applyProtection="1">
      <alignment horizontal="center" vertical="center" wrapText="1"/>
      <protection hidden="1"/>
    </xf>
    <xf numFmtId="1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5" xfId="0" applyNumberFormat="1" applyFont="1" applyBorder="1" applyAlignment="1" applyProtection="1">
      <alignment horizontal="center" vertical="center" wrapText="1"/>
      <protection hidden="1"/>
    </xf>
    <xf numFmtId="4" fontId="3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Protection="1">
      <protection hidden="1"/>
    </xf>
    <xf numFmtId="164" fontId="0" fillId="0" borderId="0" xfId="0" applyNumberFormat="1" applyFill="1" applyProtection="1">
      <protection hidden="1"/>
    </xf>
    <xf numFmtId="165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Fill="1" applyProtection="1">
      <protection hidden="1"/>
    </xf>
    <xf numFmtId="0" fontId="16" fillId="0" borderId="0" xfId="2" applyFont="1" applyBorder="1" applyAlignment="1">
      <alignment horizontal="right" vertical="center"/>
    </xf>
    <xf numFmtId="0" fontId="17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2" fillId="0" borderId="0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top" wrapText="1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vertical="center" wrapText="1"/>
      <protection hidden="1"/>
    </xf>
    <xf numFmtId="0" fontId="19" fillId="0" borderId="0" xfId="1" applyFont="1" applyAlignment="1">
      <alignment horizontal="center" wrapText="1"/>
    </xf>
    <xf numFmtId="0" fontId="6" fillId="0" borderId="3" xfId="0" applyFont="1" applyBorder="1" applyAlignment="1" applyProtection="1">
      <alignment horizontal="center"/>
      <protection hidden="1"/>
    </xf>
    <xf numFmtId="0" fontId="13" fillId="0" borderId="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6" fillId="0" borderId="3" xfId="0" applyFont="1" applyBorder="1" applyProtection="1">
      <protection hidden="1"/>
    </xf>
    <xf numFmtId="0" fontId="6" fillId="0" borderId="0" xfId="0" applyFont="1" applyProtection="1">
      <protection hidden="1"/>
    </xf>
    <xf numFmtId="0" fontId="11" fillId="0" borderId="3" xfId="0" applyFont="1" applyBorder="1" applyAlignment="1" applyProtection="1">
      <alignment horizontal="center" vertical="center" textRotation="90" wrapText="1"/>
      <protection hidden="1"/>
    </xf>
    <xf numFmtId="0" fontId="11" fillId="0" borderId="3" xfId="0" applyFont="1" applyBorder="1" applyProtection="1">
      <protection hidden="1"/>
    </xf>
    <xf numFmtId="0" fontId="11" fillId="0" borderId="0" xfId="0" applyFont="1" applyProtection="1"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2" fillId="0" borderId="3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4" fontId="10" fillId="0" borderId="3" xfId="0" applyNumberFormat="1" applyFont="1" applyFill="1" applyBorder="1" applyProtection="1">
      <protection hidden="1"/>
    </xf>
    <xf numFmtId="167" fontId="10" fillId="0" borderId="3" xfId="0" applyNumberFormat="1" applyFont="1" applyBorder="1" applyProtection="1">
      <protection hidden="1"/>
    </xf>
    <xf numFmtId="3" fontId="10" fillId="0" borderId="3" xfId="0" applyNumberFormat="1" applyFont="1" applyBorder="1" applyProtection="1">
      <protection hidden="1"/>
    </xf>
    <xf numFmtId="4" fontId="10" fillId="0" borderId="3" xfId="0" applyNumberFormat="1" applyFont="1" applyBorder="1" applyProtection="1">
      <protection hidden="1"/>
    </xf>
    <xf numFmtId="167" fontId="18" fillId="0" borderId="3" xfId="0" applyNumberFormat="1" applyFont="1" applyBorder="1" applyProtection="1">
      <protection hidden="1"/>
    </xf>
    <xf numFmtId="4" fontId="10" fillId="0" borderId="0" xfId="0" applyNumberFormat="1" applyFont="1" applyProtection="1">
      <protection hidden="1"/>
    </xf>
    <xf numFmtId="0" fontId="10" fillId="0" borderId="0" xfId="0" applyFont="1" applyProtection="1">
      <protection hidden="1"/>
    </xf>
    <xf numFmtId="3" fontId="10" fillId="0" borderId="3" xfId="0" applyNumberFormat="1" applyFont="1" applyFill="1" applyBorder="1" applyProtection="1">
      <protection hidden="1"/>
    </xf>
    <xf numFmtId="0" fontId="9" fillId="0" borderId="3" xfId="0" applyFont="1" applyBorder="1" applyProtection="1">
      <protection hidden="1"/>
    </xf>
    <xf numFmtId="0" fontId="9" fillId="0" borderId="3" xfId="0" applyFont="1" applyBorder="1" applyAlignment="1" applyProtection="1">
      <alignment horizontal="center"/>
      <protection hidden="1"/>
    </xf>
    <xf numFmtId="3" fontId="9" fillId="0" borderId="3" xfId="0" applyNumberFormat="1" applyFont="1" applyBorder="1" applyProtection="1">
      <protection hidden="1"/>
    </xf>
    <xf numFmtId="3" fontId="9" fillId="0" borderId="3" xfId="0" applyNumberFormat="1" applyFont="1" applyFill="1" applyBorder="1" applyProtection="1">
      <protection hidden="1"/>
    </xf>
    <xf numFmtId="4" fontId="9" fillId="0" borderId="3" xfId="0" applyNumberFormat="1" applyFont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3" fontId="9" fillId="0" borderId="0" xfId="0" applyNumberFormat="1" applyFont="1" applyProtection="1">
      <protection hidden="1"/>
    </xf>
    <xf numFmtId="0" fontId="6" fillId="0" borderId="0" xfId="0" applyFont="1" applyFill="1" applyProtection="1">
      <protection hidden="1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16"/>
  <sheetViews>
    <sheetView topLeftCell="A7" zoomScaleNormal="100" workbookViewId="0">
      <selection activeCell="F15" sqref="F15"/>
    </sheetView>
  </sheetViews>
  <sheetFormatPr defaultRowHeight="15" x14ac:dyDescent="0.25"/>
  <cols>
    <col min="1" max="1" width="4.5" style="1" customWidth="1"/>
    <col min="2" max="2" width="28.5" style="1" customWidth="1"/>
    <col min="3" max="3" width="9.375" style="1" customWidth="1"/>
    <col min="4" max="4" width="12.625" style="1" hidden="1" customWidth="1"/>
    <col min="5" max="5" width="12.375" style="1" hidden="1" customWidth="1"/>
    <col min="6" max="6" width="31" style="1" customWidth="1"/>
    <col min="7" max="9" width="10.875" style="1" customWidth="1"/>
    <col min="10" max="11" width="9" style="1" customWidth="1"/>
    <col min="12" max="1021" width="8" style="1" customWidth="1"/>
    <col min="1022" max="16384" width="9" style="21"/>
  </cols>
  <sheetData>
    <row r="1" spans="1:11" hidden="1" x14ac:dyDescent="0.25">
      <c r="F1" s="2"/>
      <c r="I1" s="3"/>
    </row>
    <row r="2" spans="1:11" hidden="1" x14ac:dyDescent="0.25">
      <c r="D2" s="90"/>
      <c r="E2" s="90"/>
      <c r="F2" s="90"/>
      <c r="I2" s="3"/>
    </row>
    <row r="3" spans="1:11" hidden="1" x14ac:dyDescent="0.25">
      <c r="F3" s="4"/>
      <c r="I3" s="3"/>
    </row>
    <row r="4" spans="1:11" hidden="1" x14ac:dyDescent="0.25">
      <c r="F4" s="5"/>
      <c r="I4" s="3"/>
    </row>
    <row r="5" spans="1:11" hidden="1" x14ac:dyDescent="0.25"/>
    <row r="6" spans="1:11" ht="15.75" hidden="1" x14ac:dyDescent="0.25">
      <c r="A6" s="91"/>
      <c r="B6" s="91"/>
      <c r="C6" s="91"/>
      <c r="D6" s="91"/>
      <c r="E6" s="91"/>
      <c r="F6" s="91"/>
      <c r="G6" s="6"/>
      <c r="H6" s="7"/>
      <c r="I6" s="7"/>
      <c r="J6" s="8"/>
      <c r="K6" s="8"/>
    </row>
    <row r="7" spans="1:11" ht="66" customHeight="1" x14ac:dyDescent="0.25">
      <c r="A7" s="98" t="s">
        <v>72</v>
      </c>
      <c r="B7" s="98"/>
      <c r="C7" s="98"/>
      <c r="D7" s="98"/>
      <c r="E7" s="98"/>
      <c r="F7" s="98"/>
      <c r="G7" s="8"/>
      <c r="H7" s="8"/>
      <c r="I7" s="8"/>
      <c r="J7" s="8"/>
      <c r="K7" s="8"/>
    </row>
    <row r="8" spans="1:11" x14ac:dyDescent="0.25">
      <c r="A8" s="92"/>
      <c r="B8" s="92"/>
      <c r="C8" s="92"/>
      <c r="D8" s="92"/>
      <c r="E8" s="9"/>
      <c r="F8" s="22" t="s">
        <v>48</v>
      </c>
      <c r="G8" s="8"/>
      <c r="H8" s="8"/>
      <c r="I8" s="8"/>
      <c r="J8" s="8"/>
      <c r="K8" s="8"/>
    </row>
    <row r="9" spans="1:11" ht="73.5" x14ac:dyDescent="0.25">
      <c r="A9" s="10" t="s">
        <v>7</v>
      </c>
      <c r="B9" s="10" t="s">
        <v>8</v>
      </c>
      <c r="C9" s="10" t="s">
        <v>49</v>
      </c>
      <c r="D9" s="10" t="s">
        <v>50</v>
      </c>
      <c r="E9" s="10" t="s">
        <v>51</v>
      </c>
      <c r="F9" s="10" t="s">
        <v>67</v>
      </c>
      <c r="G9" s="11"/>
      <c r="H9" s="11"/>
      <c r="I9" s="11"/>
      <c r="J9" s="11"/>
      <c r="K9" s="11"/>
    </row>
    <row r="10" spans="1:11" x14ac:dyDescent="0.25">
      <c r="A10" s="12"/>
      <c r="B10" s="12"/>
      <c r="C10" s="12"/>
      <c r="D10" s="12"/>
      <c r="E10" s="12"/>
      <c r="F10" s="12"/>
      <c r="G10" s="13"/>
      <c r="H10" s="13"/>
      <c r="I10" s="13"/>
      <c r="J10" s="13"/>
      <c r="K10" s="13"/>
    </row>
    <row r="11" spans="1:11" x14ac:dyDescent="0.25">
      <c r="A11" s="12" t="s">
        <v>19</v>
      </c>
      <c r="B11" s="14" t="s">
        <v>31</v>
      </c>
      <c r="C11" s="15">
        <v>7050</v>
      </c>
      <c r="D11" s="12">
        <f>C11/C16</f>
        <v>0.56531152273273999</v>
      </c>
      <c r="E11" s="16">
        <f>1/D11</f>
        <v>1.7689361702127659</v>
      </c>
      <c r="F11" s="23">
        <f>$F$16*E11/$E$16</f>
        <v>144.44239940116063</v>
      </c>
      <c r="G11" s="17"/>
      <c r="H11" s="17"/>
      <c r="I11" s="18"/>
      <c r="J11" s="13"/>
      <c r="K11" s="13"/>
    </row>
    <row r="12" spans="1:11" x14ac:dyDescent="0.25">
      <c r="A12" s="12" t="s">
        <v>21</v>
      </c>
      <c r="B12" s="14" t="s">
        <v>32</v>
      </c>
      <c r="C12" s="15">
        <v>1421</v>
      </c>
      <c r="D12" s="12">
        <f>C12/C16</f>
        <v>0.11394435089407426</v>
      </c>
      <c r="E12" s="16">
        <f>1/D12</f>
        <v>8.7762139338494016</v>
      </c>
      <c r="F12" s="23">
        <f>$F$16*E12/$E$16</f>
        <v>716.62133411553998</v>
      </c>
      <c r="G12" s="17"/>
      <c r="H12" s="17"/>
      <c r="I12" s="18"/>
      <c r="J12" s="13"/>
      <c r="K12" s="13"/>
    </row>
    <row r="13" spans="1:11" x14ac:dyDescent="0.25">
      <c r="A13" s="12" t="s">
        <v>23</v>
      </c>
      <c r="B13" s="14" t="s">
        <v>33</v>
      </c>
      <c r="C13" s="15">
        <v>1514</v>
      </c>
      <c r="D13" s="12">
        <f>C13/C16</f>
        <v>0.12140165183225082</v>
      </c>
      <c r="E13" s="16">
        <f>1/D13</f>
        <v>8.2371202113606348</v>
      </c>
      <c r="F13" s="23">
        <f>$F$16*E13/$E$16</f>
        <v>672.60166167647446</v>
      </c>
      <c r="G13" s="17"/>
      <c r="H13" s="17"/>
      <c r="I13" s="18"/>
      <c r="J13" s="13"/>
      <c r="K13" s="13"/>
    </row>
    <row r="14" spans="1:11" x14ac:dyDescent="0.25">
      <c r="A14" s="12" t="s">
        <v>25</v>
      </c>
      <c r="B14" s="14" t="s">
        <v>35</v>
      </c>
      <c r="C14" s="15">
        <v>1106</v>
      </c>
      <c r="D14" s="12">
        <f>C14/C16</f>
        <v>8.8685750942185865E-2</v>
      </c>
      <c r="E14" s="16">
        <f>1/D14</f>
        <v>11.275768535262207</v>
      </c>
      <c r="F14" s="23">
        <f>$F$16*E14/$E$16</f>
        <v>920.72234699654837</v>
      </c>
      <c r="G14" s="17"/>
      <c r="H14" s="17"/>
      <c r="I14" s="18"/>
      <c r="J14" s="13"/>
      <c r="K14" s="13"/>
    </row>
    <row r="15" spans="1:11" x14ac:dyDescent="0.25">
      <c r="A15" s="12" t="s">
        <v>27</v>
      </c>
      <c r="B15" s="14" t="s">
        <v>34</v>
      </c>
      <c r="C15" s="15">
        <v>1380</v>
      </c>
      <c r="D15" s="12">
        <f>C15/C16</f>
        <v>0.1106567235987491</v>
      </c>
      <c r="E15" s="16">
        <f>1/D15</f>
        <v>9.0369565217391301</v>
      </c>
      <c r="F15" s="23">
        <f>$F$16*E15/$E$16</f>
        <v>737.91225781027708</v>
      </c>
      <c r="G15" s="17"/>
      <c r="H15" s="17"/>
      <c r="I15" s="18"/>
      <c r="J15" s="13"/>
      <c r="K15" s="13"/>
    </row>
    <row r="16" spans="1:11" x14ac:dyDescent="0.25">
      <c r="A16" s="12"/>
      <c r="B16" s="19" t="s">
        <v>52</v>
      </c>
      <c r="C16" s="20">
        <f>SUM(C11:C15)</f>
        <v>12471</v>
      </c>
      <c r="D16" s="12">
        <f>SUM(D11:D15)</f>
        <v>1</v>
      </c>
      <c r="E16" s="16">
        <f>E11+E12+E13+E14+E15</f>
        <v>39.094995372424137</v>
      </c>
      <c r="F16" s="23">
        <v>3192.3</v>
      </c>
      <c r="G16" s="17"/>
      <c r="H16" s="17"/>
      <c r="I16" s="13"/>
      <c r="J16" s="13"/>
      <c r="K16" s="13"/>
    </row>
  </sheetData>
  <mergeCells count="4">
    <mergeCell ref="D2:F2"/>
    <mergeCell ref="A6:F6"/>
    <mergeCell ref="A8:D8"/>
    <mergeCell ref="A7:F7"/>
  </mergeCells>
  <pageMargins left="0.78749999999999998" right="0.78749999999999998" top="0.78749999999999998" bottom="0.78749999999999998" header="0.51180555555555496" footer="0.51180555555555496"/>
  <pageSetup paperSize="9" firstPageNumber="0" fitToWidth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9"/>
  <sheetViews>
    <sheetView workbookViewId="0">
      <selection activeCell="A7" sqref="A7"/>
    </sheetView>
  </sheetViews>
  <sheetFormatPr defaultColWidth="25.75" defaultRowHeight="12.75" x14ac:dyDescent="0.2"/>
  <cols>
    <col min="1" max="1" width="30.125" style="104" bestFit="1" customWidth="1"/>
    <col min="2" max="2" width="13.375" style="104" customWidth="1"/>
    <col min="3" max="3" width="4.75" style="104" customWidth="1"/>
    <col min="4" max="4" width="5" style="104" customWidth="1"/>
    <col min="5" max="5" width="12.875" style="104" customWidth="1"/>
    <col min="6" max="6" width="11.25" style="104" customWidth="1"/>
    <col min="7" max="7" width="7.625" style="104" customWidth="1"/>
    <col min="8" max="8" width="10.125" style="104" hidden="1" customWidth="1"/>
    <col min="9" max="9" width="13" style="104" customWidth="1"/>
    <col min="10" max="10" width="11.875" style="104" customWidth="1"/>
    <col min="11" max="13" width="10.125" style="104" customWidth="1"/>
    <col min="14" max="14" width="4.625" style="104" bestFit="1" customWidth="1"/>
    <col min="15" max="15" width="10.25" style="104" customWidth="1"/>
    <col min="16" max="16" width="9.375" style="104" customWidth="1"/>
    <col min="17" max="17" width="14.5" style="104" hidden="1" customWidth="1"/>
    <col min="18" max="18" width="8.625" style="104" customWidth="1"/>
    <col min="19" max="16384" width="25.75" style="104"/>
  </cols>
  <sheetData>
    <row r="3" spans="1:37" ht="26.25" customHeight="1" x14ac:dyDescent="0.2">
      <c r="A3" s="99"/>
      <c r="B3" s="100" t="s">
        <v>36</v>
      </c>
      <c r="C3" s="101" t="s">
        <v>39</v>
      </c>
      <c r="D3" s="101"/>
      <c r="E3" s="100" t="s">
        <v>61</v>
      </c>
      <c r="F3" s="102" t="s">
        <v>39</v>
      </c>
      <c r="G3" s="102"/>
      <c r="H3" s="102"/>
      <c r="I3" s="102"/>
      <c r="J3" s="102"/>
      <c r="K3" s="102"/>
      <c r="L3" s="102"/>
      <c r="M3" s="102"/>
      <c r="N3" s="102"/>
      <c r="O3" s="102"/>
      <c r="P3" s="103"/>
      <c r="Q3" s="103"/>
      <c r="R3" s="100" t="s">
        <v>63</v>
      </c>
    </row>
    <row r="4" spans="1:37" ht="50.25" customHeight="1" x14ac:dyDescent="0.2">
      <c r="A4" s="99"/>
      <c r="B4" s="100"/>
      <c r="C4" s="105" t="s">
        <v>37</v>
      </c>
      <c r="D4" s="105" t="s">
        <v>38</v>
      </c>
      <c r="E4" s="100"/>
      <c r="F4" s="101" t="s">
        <v>40</v>
      </c>
      <c r="G4" s="101"/>
      <c r="H4" s="101"/>
      <c r="I4" s="102" t="s">
        <v>46</v>
      </c>
      <c r="J4" s="102"/>
      <c r="K4" s="102"/>
      <c r="L4" s="102"/>
      <c r="M4" s="102"/>
      <c r="N4" s="101" t="s">
        <v>41</v>
      </c>
      <c r="O4" s="101"/>
      <c r="P4" s="106"/>
      <c r="Q4" s="106"/>
      <c r="R4" s="100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</row>
    <row r="5" spans="1:37" ht="68.25" customHeight="1" x14ac:dyDescent="0.2">
      <c r="A5" s="99"/>
      <c r="B5" s="100"/>
      <c r="C5" s="105"/>
      <c r="D5" s="105"/>
      <c r="E5" s="100"/>
      <c r="F5" s="108" t="s">
        <v>60</v>
      </c>
      <c r="G5" s="108" t="s">
        <v>42</v>
      </c>
      <c r="H5" s="108" t="s">
        <v>43</v>
      </c>
      <c r="I5" s="108" t="s">
        <v>58</v>
      </c>
      <c r="J5" s="109" t="s">
        <v>57</v>
      </c>
      <c r="K5" s="108" t="s">
        <v>47</v>
      </c>
      <c r="L5" s="108" t="s">
        <v>59</v>
      </c>
      <c r="M5" s="108" t="s">
        <v>56</v>
      </c>
      <c r="N5" s="108" t="s">
        <v>44</v>
      </c>
      <c r="O5" s="108" t="s">
        <v>62</v>
      </c>
      <c r="P5" s="108" t="s">
        <v>55</v>
      </c>
      <c r="Q5" s="110"/>
      <c r="R5" s="100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</row>
    <row r="6" spans="1:37" s="112" customFormat="1" ht="10.5" x14ac:dyDescent="0.15">
      <c r="A6" s="111">
        <v>1</v>
      </c>
      <c r="B6" s="111">
        <v>2</v>
      </c>
      <c r="C6" s="111">
        <v>3</v>
      </c>
      <c r="D6" s="111">
        <v>4</v>
      </c>
      <c r="E6" s="111">
        <v>5</v>
      </c>
      <c r="F6" s="111">
        <v>6</v>
      </c>
      <c r="G6" s="111">
        <v>7</v>
      </c>
      <c r="H6" s="111">
        <v>8</v>
      </c>
      <c r="I6" s="111"/>
      <c r="J6" s="111"/>
      <c r="K6" s="111"/>
      <c r="L6" s="111"/>
      <c r="M6" s="111"/>
      <c r="N6" s="111"/>
      <c r="O6" s="111"/>
      <c r="P6" s="111"/>
      <c r="Q6" s="111"/>
      <c r="R6" s="111"/>
    </row>
    <row r="7" spans="1:37" s="121" customFormat="1" ht="15" x14ac:dyDescent="0.25">
      <c r="A7" s="113" t="s">
        <v>31</v>
      </c>
      <c r="B7" s="114">
        <f>0.6+0.04*C7/$C$12+0.03*D7/$D$12+0.33</f>
        <v>0.98549436212089492</v>
      </c>
      <c r="C7" s="115">
        <f>(31.17*6+32.32*6)/12</f>
        <v>31.745000000000005</v>
      </c>
      <c r="D7" s="115">
        <f>(29*6+30.2*6)/12</f>
        <v>29.599999999999998</v>
      </c>
      <c r="E7" s="116">
        <f>0.5*F7+0.3*M7+0.2*K7</f>
        <v>0.95867763173657128</v>
      </c>
      <c r="F7" s="114">
        <v>1</v>
      </c>
      <c r="G7" s="114">
        <f>I7/P7</f>
        <v>26.857142857142858</v>
      </c>
      <c r="H7" s="114"/>
      <c r="I7" s="117">
        <v>7050</v>
      </c>
      <c r="J7" s="117">
        <v>0</v>
      </c>
      <c r="K7" s="117">
        <f t="shared" ref="K7" si="0">(1+J7/I7)/(1+$J$12/$I$13)</f>
        <v>0.66433823529411762</v>
      </c>
      <c r="L7" s="117">
        <v>1347</v>
      </c>
      <c r="M7" s="116">
        <f>(L7/I7)/($L$12/$I$12)</f>
        <v>1.0860332822591594</v>
      </c>
      <c r="N7" s="114">
        <v>0</v>
      </c>
      <c r="O7" s="114">
        <f t="shared" ref="O7" si="1">N7*$I$12/(N7*I7+N8*I8+N9*I9+N10*I10+I6*N6)</f>
        <v>0</v>
      </c>
      <c r="P7" s="118">
        <v>262.5</v>
      </c>
      <c r="Q7" s="118"/>
      <c r="R7" s="119">
        <f>(0.5+0.1*B7+0.3+0.1)*E7</f>
        <v>0.95728700867969452</v>
      </c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</row>
    <row r="8" spans="1:37" s="121" customFormat="1" ht="15" x14ac:dyDescent="0.25">
      <c r="A8" s="113" t="s">
        <v>32</v>
      </c>
      <c r="B8" s="114">
        <f t="shared" ref="B8:B11" si="2">0.6+0.04*C8/$C$12+0.03*D8/$D$12+0.33</f>
        <v>1.0069354244074264</v>
      </c>
      <c r="C8" s="118">
        <v>32.380000000000003</v>
      </c>
      <c r="D8" s="118">
        <v>52.79</v>
      </c>
      <c r="E8" s="116">
        <f t="shared" ref="E8:E11" si="3">0.5*F8+0.3*M8+0.2*K8</f>
        <v>0.94371859395064106</v>
      </c>
      <c r="F8" s="114">
        <v>1</v>
      </c>
      <c r="G8" s="114">
        <f t="shared" ref="G8:G11" si="4">I8/P8</f>
        <v>1.1516237002698737</v>
      </c>
      <c r="H8" s="114"/>
      <c r="I8" s="117">
        <v>1421</v>
      </c>
      <c r="J8" s="122">
        <v>578</v>
      </c>
      <c r="K8" s="116">
        <f>(1+J8/I8)/(1+$J$12/$I$13)</f>
        <v>0.93456166949538433</v>
      </c>
      <c r="L8" s="117">
        <v>214</v>
      </c>
      <c r="M8" s="116">
        <f t="shared" ref="M8:M11" si="5">(L8/I8)/($L$12/$I$12)</f>
        <v>0.85602086683854706</v>
      </c>
      <c r="N8" s="114">
        <v>29</v>
      </c>
      <c r="O8" s="114">
        <f>N8*$I$12/(N8*I8+N9*I9+N10*I10+N11*I11+I7*N7)</f>
        <v>2.2175016708258477</v>
      </c>
      <c r="P8" s="118">
        <v>1233.9100000000001</v>
      </c>
      <c r="Q8" s="118"/>
      <c r="R8" s="119">
        <f t="shared" ref="R8:R11" si="6">(0.5+0.1*B8+0.3+0.1)*E8</f>
        <v>0.94437310284766396</v>
      </c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</row>
    <row r="9" spans="1:37" s="121" customFormat="1" ht="15" x14ac:dyDescent="0.25">
      <c r="A9" s="113" t="s">
        <v>33</v>
      </c>
      <c r="B9" s="114">
        <f t="shared" si="2"/>
        <v>1.0109170117124613</v>
      </c>
      <c r="C9" s="118">
        <v>50.8</v>
      </c>
      <c r="D9" s="118">
        <v>38.6</v>
      </c>
      <c r="E9" s="116">
        <f t="shared" si="3"/>
        <v>0.99394233857369119</v>
      </c>
      <c r="F9" s="114">
        <v>1</v>
      </c>
      <c r="G9" s="114">
        <f t="shared" si="4"/>
        <v>1.1083455344070279</v>
      </c>
      <c r="H9" s="114"/>
      <c r="I9" s="117">
        <v>1514</v>
      </c>
      <c r="J9" s="122">
        <v>816</v>
      </c>
      <c r="K9" s="116">
        <f t="shared" ref="K9:K11" si="7">(1+J9/I9)/(1+$J$12/$I$13)</f>
        <v>1.0223963594684902</v>
      </c>
      <c r="L9" s="117">
        <v>257</v>
      </c>
      <c r="M9" s="116">
        <f t="shared" si="5"/>
        <v>0.96487688893331047</v>
      </c>
      <c r="N9" s="114">
        <v>9</v>
      </c>
      <c r="O9" s="114">
        <f t="shared" ref="O9:O11" si="8">N9*$I$12/(N9*I9+N10*I10+N11*I11+N12*I12+I8*N8)</f>
        <v>0.20534920791014977</v>
      </c>
      <c r="P9" s="118">
        <v>1366</v>
      </c>
      <c r="Q9" s="118"/>
      <c r="R9" s="119">
        <f t="shared" si="6"/>
        <v>0.99502742658886323</v>
      </c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</row>
    <row r="10" spans="1:37" s="121" customFormat="1" ht="15" x14ac:dyDescent="0.25">
      <c r="A10" s="113" t="s">
        <v>34</v>
      </c>
      <c r="B10" s="114">
        <f t="shared" si="2"/>
        <v>0.9855814403426284</v>
      </c>
      <c r="C10" s="118">
        <v>48.87</v>
      </c>
      <c r="D10" s="115">
        <v>12.39</v>
      </c>
      <c r="E10" s="116">
        <f t="shared" si="3"/>
        <v>0.95946779060500587</v>
      </c>
      <c r="F10" s="114">
        <v>1</v>
      </c>
      <c r="G10" s="114">
        <f t="shared" si="4"/>
        <v>2.0455353966559944</v>
      </c>
      <c r="H10" s="114"/>
      <c r="I10" s="117">
        <v>1380</v>
      </c>
      <c r="J10" s="122">
        <v>851</v>
      </c>
      <c r="K10" s="116">
        <f t="shared" si="7"/>
        <v>1.0740134803921568</v>
      </c>
      <c r="L10" s="117">
        <v>198</v>
      </c>
      <c r="M10" s="116">
        <f t="shared" si="5"/>
        <v>0.81555031508858156</v>
      </c>
      <c r="N10" s="114">
        <v>52</v>
      </c>
      <c r="O10" s="114">
        <f t="shared" si="8"/>
        <v>1.2832093888157572</v>
      </c>
      <c r="P10" s="118">
        <v>674.64</v>
      </c>
      <c r="Q10" s="118"/>
      <c r="R10" s="119">
        <f t="shared" si="6"/>
        <v>0.95808437624718945</v>
      </c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</row>
    <row r="11" spans="1:37" s="121" customFormat="1" ht="15" x14ac:dyDescent="0.25">
      <c r="A11" s="113" t="s">
        <v>35</v>
      </c>
      <c r="B11" s="114">
        <f t="shared" si="2"/>
        <v>0.98107176141658892</v>
      </c>
      <c r="C11" s="118">
        <v>56.17</v>
      </c>
      <c r="D11" s="115">
        <v>0</v>
      </c>
      <c r="E11" s="116">
        <f t="shared" si="3"/>
        <v>0.96665572728981974</v>
      </c>
      <c r="F11" s="114">
        <v>1</v>
      </c>
      <c r="G11" s="114">
        <f t="shared" si="4"/>
        <v>3.0103429504627113</v>
      </c>
      <c r="H11" s="114"/>
      <c r="I11" s="117">
        <v>1106</v>
      </c>
      <c r="J11" s="122">
        <v>494</v>
      </c>
      <c r="K11" s="116">
        <f t="shared" si="7"/>
        <v>0.96106797149239442</v>
      </c>
      <c r="L11" s="117">
        <v>178</v>
      </c>
      <c r="M11" s="116">
        <f t="shared" si="5"/>
        <v>0.91480710997113612</v>
      </c>
      <c r="N11" s="114">
        <v>33</v>
      </c>
      <c r="O11" s="114">
        <f t="shared" si="8"/>
        <v>0.83690965523026595</v>
      </c>
      <c r="P11" s="118">
        <v>367.4</v>
      </c>
      <c r="Q11" s="118"/>
      <c r="R11" s="119">
        <f t="shared" si="6"/>
        <v>0.96482601826640335</v>
      </c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</row>
    <row r="12" spans="1:37" s="85" customFormat="1" x14ac:dyDescent="0.2">
      <c r="A12" s="123"/>
      <c r="B12" s="123"/>
      <c r="C12" s="124">
        <f>(C7+C8+C9+C10+C11)/5</f>
        <v>43.992999999999995</v>
      </c>
      <c r="D12" s="124">
        <f>(D7+D8+D9+D10+D11)/4</f>
        <v>33.344999999999999</v>
      </c>
      <c r="E12" s="123"/>
      <c r="F12" s="123"/>
      <c r="G12" s="123"/>
      <c r="H12" s="123"/>
      <c r="I12" s="125">
        <f>SUM(I7:I11)</f>
        <v>12471</v>
      </c>
      <c r="J12" s="126">
        <f>J8+J9+J10+J11</f>
        <v>2739</v>
      </c>
      <c r="K12" s="123"/>
      <c r="L12" s="125">
        <f>L7+L8+L9+L10+L11</f>
        <v>2194</v>
      </c>
      <c r="M12" s="123"/>
      <c r="N12" s="123">
        <f>SUM(N7:N11)/4</f>
        <v>30.75</v>
      </c>
      <c r="O12" s="123"/>
      <c r="P12" s="127">
        <f>P7+P8+P9+P10+P11</f>
        <v>3904.45</v>
      </c>
      <c r="Q12" s="123"/>
      <c r="R12" s="123"/>
    </row>
    <row r="13" spans="1:37" x14ac:dyDescent="0.2">
      <c r="H13" s="128" t="s">
        <v>45</v>
      </c>
      <c r="I13" s="129">
        <f>I8+I9+I10+I11</f>
        <v>5421</v>
      </c>
      <c r="J13" s="130"/>
    </row>
    <row r="19" spans="7:7" x14ac:dyDescent="0.2">
      <c r="G19" s="130"/>
    </row>
  </sheetData>
  <sheetProtection password="C76F" sheet="1" objects="1" scenarios="1"/>
  <mergeCells count="11">
    <mergeCell ref="N4:O4"/>
    <mergeCell ref="I4:M4"/>
    <mergeCell ref="F3:O3"/>
    <mergeCell ref="F4:H4"/>
    <mergeCell ref="R3:R5"/>
    <mergeCell ref="A3:A5"/>
    <mergeCell ref="C4:C5"/>
    <mergeCell ref="D4:D5"/>
    <mergeCell ref="E3:E5"/>
    <mergeCell ref="B3:B5"/>
    <mergeCell ref="C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0"/>
  <sheetViews>
    <sheetView tabSelected="1" topLeftCell="A6" zoomScaleNormal="100" workbookViewId="0">
      <selection activeCell="F38" sqref="F38"/>
    </sheetView>
  </sheetViews>
  <sheetFormatPr defaultRowHeight="14.25" x14ac:dyDescent="0.2"/>
  <cols>
    <col min="1" max="1" width="6" style="24" customWidth="1"/>
    <col min="2" max="2" width="8.625" style="24" customWidth="1"/>
    <col min="3" max="3" width="6.625" style="24" hidden="1" customWidth="1"/>
    <col min="4" max="4" width="9.625" style="24" customWidth="1"/>
    <col min="5" max="5" width="7.125" style="24" hidden="1" customWidth="1"/>
    <col min="6" max="7" width="9.125" style="24" customWidth="1"/>
    <col min="8" max="8" width="9.625" style="24" customWidth="1"/>
    <col min="9" max="9" width="10.875" style="24" customWidth="1"/>
    <col min="10" max="10" width="10" style="24" hidden="1" customWidth="1"/>
    <col min="11" max="11" width="12.375" style="24" customWidth="1"/>
    <col min="12" max="12" width="12.375" style="24" hidden="1" customWidth="1"/>
    <col min="13" max="14" width="11.75" style="24" hidden="1" customWidth="1"/>
    <col min="15" max="15" width="12.625" style="24" customWidth="1"/>
    <col min="16" max="16" width="12.375" style="24" hidden="1" customWidth="1"/>
    <col min="17" max="17" width="10.875" style="24" hidden="1" customWidth="1"/>
    <col min="18" max="18" width="11.25" style="24" customWidth="1"/>
    <col min="19" max="20" width="11.625" style="24" customWidth="1"/>
    <col min="21" max="21" width="8.25" style="24" customWidth="1"/>
    <col min="22" max="27" width="8.625" style="24" customWidth="1"/>
    <col min="28" max="28" width="10" style="24" customWidth="1"/>
    <col min="29" max="29" width="11.875" style="24" customWidth="1"/>
    <col min="30" max="1024" width="8.625" style="24" customWidth="1"/>
    <col min="1025" max="1027" width="10.5" style="24" customWidth="1"/>
    <col min="1028" max="16384" width="9" style="24"/>
  </cols>
  <sheetData>
    <row r="1" spans="1:35 1025:1026" hidden="1" x14ac:dyDescent="0.2">
      <c r="U1" s="25" t="s">
        <v>69</v>
      </c>
    </row>
    <row r="2" spans="1:35 1025:1026" hidden="1" x14ac:dyDescent="0.2">
      <c r="U2" s="25" t="s">
        <v>0</v>
      </c>
    </row>
    <row r="3" spans="1:35 1025:1026" hidden="1" x14ac:dyDescent="0.2">
      <c r="U3" s="25" t="s">
        <v>53</v>
      </c>
    </row>
    <row r="4" spans="1:35 1025:1026" hidden="1" x14ac:dyDescent="0.2">
      <c r="U4" s="25" t="s">
        <v>54</v>
      </c>
    </row>
    <row r="5" spans="1:35 1025:1026" hidden="1" x14ac:dyDescent="0.2"/>
    <row r="6" spans="1:35 1025:1026" ht="15" x14ac:dyDescent="0.2">
      <c r="A6" s="93" t="s">
        <v>68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35 1025:1026" ht="23.25" customHeight="1" x14ac:dyDescent="0.2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35 1025:1026" ht="23.2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35 1025:1026" ht="21.75" customHeight="1" x14ac:dyDescent="0.2">
      <c r="A9" s="94" t="s">
        <v>1</v>
      </c>
      <c r="B9" s="94"/>
      <c r="C9" s="94"/>
      <c r="D9" s="94"/>
      <c r="E9" s="94"/>
      <c r="F9" s="94"/>
      <c r="G9" s="27">
        <f>(F26+G11+G14)/F26</f>
        <v>1.1602724952367258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W9" s="95"/>
      <c r="X9" s="95"/>
      <c r="Y9" s="95"/>
      <c r="Z9" s="95"/>
      <c r="AA9" s="29"/>
      <c r="AB9" s="30"/>
      <c r="AC9" s="30"/>
      <c r="AD9" s="30"/>
      <c r="AE9" s="30"/>
      <c r="AF9" s="30"/>
      <c r="AG9" s="30"/>
      <c r="AH9" s="30"/>
      <c r="AI9" s="30"/>
    </row>
    <row r="10" spans="1:35 1025:1026" ht="42.75" hidden="1" customHeight="1" x14ac:dyDescent="0.2">
      <c r="A10" s="96" t="s">
        <v>2</v>
      </c>
      <c r="B10" s="96"/>
      <c r="C10" s="96"/>
      <c r="D10" s="96"/>
      <c r="E10" s="96"/>
      <c r="F10" s="96"/>
      <c r="G10" s="31">
        <f>G11+G13+G14</f>
        <v>4458.3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W10" s="32"/>
      <c r="X10" s="32"/>
      <c r="Y10" s="32"/>
      <c r="Z10" s="32"/>
      <c r="AA10" s="29"/>
      <c r="AB10" s="30"/>
      <c r="AC10" s="30"/>
      <c r="AD10" s="30"/>
      <c r="AE10" s="30"/>
      <c r="AF10" s="30"/>
      <c r="AG10" s="30"/>
      <c r="AH10" s="30"/>
      <c r="AI10" s="30"/>
    </row>
    <row r="11" spans="1:35 1025:1026" ht="60" customHeight="1" x14ac:dyDescent="0.2">
      <c r="A11" s="94" t="s">
        <v>3</v>
      </c>
      <c r="B11" s="94"/>
      <c r="C11" s="94"/>
      <c r="D11" s="94"/>
      <c r="E11" s="94"/>
      <c r="F11" s="94"/>
      <c r="G11" s="31">
        <v>1266</v>
      </c>
      <c r="H11" s="33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W11" s="95"/>
      <c r="X11" s="95"/>
      <c r="Y11" s="95"/>
      <c r="Z11" s="95"/>
      <c r="AA11" s="29"/>
      <c r="AB11" s="30"/>
      <c r="AC11" s="30"/>
      <c r="AD11" s="30"/>
      <c r="AE11" s="30"/>
      <c r="AF11" s="30"/>
      <c r="AG11" s="30"/>
      <c r="AH11" s="30"/>
      <c r="AI11" s="30"/>
    </row>
    <row r="12" spans="1:35 1025:1026" ht="57.75" hidden="1" customHeight="1" x14ac:dyDescent="0.2">
      <c r="A12" s="94" t="s">
        <v>3</v>
      </c>
      <c r="B12" s="94"/>
      <c r="C12" s="94"/>
      <c r="D12" s="94"/>
      <c r="E12" s="94"/>
      <c r="F12" s="94"/>
      <c r="G12" s="31">
        <v>2250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W12" s="95"/>
      <c r="X12" s="95"/>
      <c r="Y12" s="95"/>
      <c r="Z12" s="95"/>
      <c r="AA12" s="29"/>
      <c r="AB12" s="30"/>
      <c r="AC12" s="30"/>
      <c r="AD12" s="30"/>
      <c r="AE12" s="30"/>
      <c r="AF12" s="30"/>
      <c r="AG12" s="30"/>
      <c r="AH12" s="30"/>
      <c r="AI12" s="30"/>
    </row>
    <row r="13" spans="1:35 1025:1026" ht="48" hidden="1" customHeight="1" x14ac:dyDescent="0.2">
      <c r="A13" s="94" t="s">
        <v>4</v>
      </c>
      <c r="B13" s="94"/>
      <c r="C13" s="94"/>
      <c r="D13" s="94"/>
      <c r="E13" s="94"/>
      <c r="F13" s="94"/>
      <c r="G13" s="31">
        <v>0</v>
      </c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W13" s="95"/>
      <c r="X13" s="95"/>
      <c r="Y13" s="95"/>
      <c r="Z13" s="95"/>
      <c r="AA13" s="29"/>
      <c r="AB13" s="30"/>
      <c r="AC13" s="30"/>
      <c r="AD13" s="30"/>
      <c r="AE13" s="30"/>
      <c r="AF13" s="30"/>
      <c r="AG13" s="30"/>
      <c r="AH13" s="30"/>
      <c r="AI13" s="30"/>
    </row>
    <row r="14" spans="1:35 1025:1026" ht="96" customHeight="1" x14ac:dyDescent="0.2">
      <c r="A14" s="94" t="s">
        <v>5</v>
      </c>
      <c r="B14" s="94"/>
      <c r="C14" s="94"/>
      <c r="D14" s="94"/>
      <c r="E14" s="94"/>
      <c r="F14" s="94"/>
      <c r="G14" s="31">
        <f>'субвенция на вырав.из РК'!F16</f>
        <v>3192.3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W14" s="32"/>
      <c r="X14" s="32"/>
      <c r="Y14" s="32"/>
      <c r="Z14" s="32"/>
      <c r="AA14" s="29"/>
      <c r="AB14" s="30"/>
      <c r="AC14" s="30"/>
      <c r="AD14" s="30"/>
      <c r="AE14" s="30"/>
      <c r="AF14" s="30"/>
      <c r="AG14" s="30"/>
      <c r="AH14" s="30"/>
      <c r="AI14" s="30"/>
    </row>
    <row r="15" spans="1:35 1025:1026" ht="21" hidden="1" customHeight="1" x14ac:dyDescent="0.2">
      <c r="A15" s="94" t="s">
        <v>6</v>
      </c>
      <c r="B15" s="94"/>
      <c r="C15" s="94"/>
      <c r="D15" s="94"/>
      <c r="E15" s="94"/>
      <c r="F15" s="94"/>
      <c r="G15" s="34">
        <f>(F26+R26)/F26</f>
        <v>1.0455117374267535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W15" s="32"/>
      <c r="X15" s="32"/>
      <c r="Y15" s="32"/>
      <c r="Z15" s="32"/>
      <c r="AA15" s="29"/>
      <c r="AB15" s="30"/>
      <c r="AC15" s="30"/>
      <c r="AD15" s="30"/>
      <c r="AE15" s="30"/>
      <c r="AF15" s="30"/>
      <c r="AG15" s="30"/>
      <c r="AH15" s="30"/>
      <c r="AI15" s="30"/>
    </row>
    <row r="16" spans="1:35 1025:1026" s="30" customFormat="1" ht="14.25" customHeight="1" x14ac:dyDescent="0.2">
      <c r="A16" s="35"/>
      <c r="B16" s="35"/>
      <c r="C16" s="35"/>
      <c r="D16" s="35"/>
      <c r="E16" s="35"/>
      <c r="F16" s="35"/>
      <c r="G16" s="36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W16" s="32"/>
      <c r="X16" s="32"/>
      <c r="Y16" s="32"/>
      <c r="Z16" s="32"/>
      <c r="AA16" s="29"/>
      <c r="AMK16" s="24"/>
      <c r="AML16" s="24"/>
    </row>
    <row r="17" spans="1:35" x14ac:dyDescent="0.2">
      <c r="A17" s="97"/>
      <c r="B17" s="97"/>
      <c r="C17" s="97"/>
      <c r="D17" s="97"/>
      <c r="E17" s="97"/>
      <c r="F17" s="97"/>
      <c r="G17" s="37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W17" s="95"/>
      <c r="X17" s="95"/>
      <c r="Y17" s="95"/>
      <c r="Z17" s="95"/>
      <c r="AA17" s="29"/>
      <c r="AB17" s="30"/>
      <c r="AC17" s="30"/>
      <c r="AD17" s="30"/>
      <c r="AE17" s="30"/>
      <c r="AF17" s="30"/>
      <c r="AG17" s="30"/>
      <c r="AH17" s="30"/>
      <c r="AI17" s="30"/>
    </row>
    <row r="18" spans="1:35" ht="73.5" x14ac:dyDescent="0.2">
      <c r="A18" s="38" t="s">
        <v>7</v>
      </c>
      <c r="B18" s="38" t="s">
        <v>8</v>
      </c>
      <c r="C18" s="38"/>
      <c r="D18" s="38" t="s">
        <v>9</v>
      </c>
      <c r="E18" s="38"/>
      <c r="F18" s="38" t="s">
        <v>10</v>
      </c>
      <c r="G18" s="38" t="s">
        <v>11</v>
      </c>
      <c r="H18" s="38" t="s">
        <v>12</v>
      </c>
      <c r="I18" s="38" t="s">
        <v>13</v>
      </c>
      <c r="J18" s="38"/>
      <c r="K18" s="38" t="s">
        <v>70</v>
      </c>
      <c r="L18" s="38" t="s">
        <v>14</v>
      </c>
      <c r="M18" s="38" t="s">
        <v>65</v>
      </c>
      <c r="N18" s="38" t="s">
        <v>66</v>
      </c>
      <c r="O18" s="38" t="s">
        <v>15</v>
      </c>
      <c r="P18" s="39" t="s">
        <v>64</v>
      </c>
      <c r="Q18" s="38" t="s">
        <v>14</v>
      </c>
      <c r="R18" s="38" t="s">
        <v>16</v>
      </c>
      <c r="S18" s="38" t="s">
        <v>17</v>
      </c>
      <c r="T18" s="38" t="s">
        <v>18</v>
      </c>
      <c r="U18" s="38" t="s">
        <v>71</v>
      </c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30"/>
    </row>
    <row r="19" spans="1:35" hidden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  <c r="Q19" s="41"/>
      <c r="R19" s="41"/>
      <c r="S19" s="41"/>
      <c r="T19" s="41"/>
      <c r="U19" s="41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30"/>
    </row>
    <row r="20" spans="1:35" x14ac:dyDescent="0.2">
      <c r="A20" s="41" t="s">
        <v>19</v>
      </c>
      <c r="B20" s="41" t="s">
        <v>20</v>
      </c>
      <c r="C20" s="41"/>
      <c r="D20" s="44">
        <v>7050</v>
      </c>
      <c r="E20" s="45"/>
      <c r="F20" s="44">
        <v>20938</v>
      </c>
      <c r="G20" s="41">
        <f>(F20/D20)/(F26/D26)</f>
        <v>1.3314874189134305</v>
      </c>
      <c r="H20" s="46">
        <f>'Расчет ИБР'!R7</f>
        <v>0.95728700867969452</v>
      </c>
      <c r="I20" s="47">
        <f>G20/H20</f>
        <v>1.3908967810498538</v>
      </c>
      <c r="J20" s="47">
        <f>G9-I20</f>
        <v>-0.23062428581312799</v>
      </c>
      <c r="K20" s="48"/>
      <c r="L20" s="49"/>
      <c r="M20" s="50"/>
      <c r="N20" s="51"/>
      <c r="O20" s="52">
        <f>'субвенция на вырав.из РК'!F11</f>
        <v>144.44239940116063</v>
      </c>
      <c r="P20" s="53">
        <v>0</v>
      </c>
      <c r="Q20" s="47">
        <f>SUM(O20/(H20*D20*(F26/D26)))+G20/H20</f>
        <v>1.4004919892060383</v>
      </c>
      <c r="R20" s="48">
        <v>0</v>
      </c>
      <c r="S20" s="54">
        <f>O20+P20</f>
        <v>144.44239940116063</v>
      </c>
      <c r="T20" s="49">
        <f>SUM((O20+R20)/($H20*$D20*($F$26/$D$26)))+$G20/$H20</f>
        <v>1.4004919892060383</v>
      </c>
      <c r="U20" s="55">
        <f>S20-142</f>
        <v>2.4423994011606283</v>
      </c>
      <c r="V20" s="56"/>
      <c r="W20" s="57"/>
      <c r="X20" s="43"/>
      <c r="Y20" s="58"/>
      <c r="Z20" s="59"/>
      <c r="AA20" s="43"/>
      <c r="AB20" s="43"/>
      <c r="AC20" s="60"/>
      <c r="AD20" s="61"/>
      <c r="AE20" s="61"/>
      <c r="AF20" s="60"/>
      <c r="AG20" s="43"/>
      <c r="AH20" s="43"/>
      <c r="AI20" s="30"/>
    </row>
    <row r="21" spans="1:35" x14ac:dyDescent="0.2">
      <c r="A21" s="41" t="s">
        <v>21</v>
      </c>
      <c r="B21" s="41" t="s">
        <v>22</v>
      </c>
      <c r="C21" s="41"/>
      <c r="D21" s="44">
        <v>1421</v>
      </c>
      <c r="E21" s="45"/>
      <c r="F21" s="44">
        <v>1573</v>
      </c>
      <c r="G21" s="41">
        <f>(F21/D21)/(F26/D26)</f>
        <v>0.49627869712568246</v>
      </c>
      <c r="H21" s="46">
        <f>'Расчет ИБР'!R8</f>
        <v>0.94437310284766396</v>
      </c>
      <c r="I21" s="47">
        <f>G21/H21</f>
        <v>0.52551125781664365</v>
      </c>
      <c r="J21" s="47">
        <f>G9-I21</f>
        <v>0.63476123742008217</v>
      </c>
      <c r="K21" s="48">
        <f>$G$26*($G$9-I21)*H21*D21</f>
        <v>1900.0152929362534</v>
      </c>
      <c r="L21" s="49">
        <f t="shared" ref="L21:L24" si="0">SUM(K21/($H21*$D21*($F$26/$D$26)))+$G21/$H21</f>
        <v>1.1602724952367258</v>
      </c>
      <c r="M21" s="48">
        <f>$G$11*((($F$26/$D$26)*($G$9-I21)*H21*D21)/$A$30)</f>
        <v>750.62910525300538</v>
      </c>
      <c r="N21" s="49">
        <f>SUM((M21)/($H21*$D21*($F$26/$D$26)))+$G21/$H21</f>
        <v>0.77628306026755822</v>
      </c>
      <c r="O21" s="52">
        <f>'субвенция на вырав.из РК'!F12</f>
        <v>716.62133411553998</v>
      </c>
      <c r="P21" s="53">
        <f>M21-O21</f>
        <v>34.007771137465397</v>
      </c>
      <c r="Q21" s="47">
        <f>SUM((O21+P21)/(H21*D21*(F26/D26)))+G21/H21</f>
        <v>0.77628306026755822</v>
      </c>
      <c r="R21" s="62">
        <f>M21/$M$26*$R$26</f>
        <v>360.29428137196561</v>
      </c>
      <c r="S21" s="54">
        <f>O21+R21</f>
        <v>1076.9156154875056</v>
      </c>
      <c r="T21" s="49">
        <f>SUM((O21+R21)/(H21*D21*($F$26/$D$26)))+G21/H21</f>
        <v>0.88528956656249491</v>
      </c>
      <c r="U21" s="55">
        <f>S21-1048</f>
        <v>28.915615487505647</v>
      </c>
      <c r="V21" s="56"/>
      <c r="W21" s="63"/>
      <c r="X21" s="43"/>
      <c r="Y21" s="58"/>
      <c r="Z21" s="59"/>
      <c r="AA21" s="43"/>
      <c r="AB21" s="43"/>
      <c r="AC21" s="60"/>
      <c r="AD21" s="61"/>
      <c r="AE21" s="61"/>
      <c r="AF21" s="60"/>
      <c r="AG21" s="43"/>
      <c r="AH21" s="43"/>
      <c r="AI21" s="30"/>
    </row>
    <row r="22" spans="1:35" x14ac:dyDescent="0.2">
      <c r="A22" s="41" t="s">
        <v>23</v>
      </c>
      <c r="B22" s="41" t="s">
        <v>24</v>
      </c>
      <c r="C22" s="41"/>
      <c r="D22" s="44">
        <v>1514</v>
      </c>
      <c r="E22" s="45"/>
      <c r="F22" s="44">
        <v>2115</v>
      </c>
      <c r="G22" s="41">
        <f>(F22/D22)/(F26/D26)</f>
        <v>0.62629001139690621</v>
      </c>
      <c r="H22" s="46">
        <f>'Расчет ИБР'!R9</f>
        <v>0.99502742658886323</v>
      </c>
      <c r="I22" s="47">
        <f>G22/H22</f>
        <v>0.62941984779650084</v>
      </c>
      <c r="J22" s="47">
        <f>G9-I22</f>
        <v>0.53085264744022498</v>
      </c>
      <c r="K22" s="48">
        <f t="shared" ref="K22:K24" si="1">$G$26*($G$9-I22)*H22*D22</f>
        <v>1783.7908246247036</v>
      </c>
      <c r="L22" s="49">
        <f t="shared" si="0"/>
        <v>1.1602724952367258</v>
      </c>
      <c r="M22" s="48">
        <f>$G$11*((($F$26/$D$26)*($G$9-I22)*H22*D22)/$A$30)</f>
        <v>704.71291237732407</v>
      </c>
      <c r="N22" s="49">
        <f>SUM((M22)/($H22*$D22*($F$26/$D$26)))+$G22/$H22</f>
        <v>0.83914102701577464</v>
      </c>
      <c r="O22" s="52">
        <f>'субвенция на вырав.из РК'!F13</f>
        <v>672.60166167647446</v>
      </c>
      <c r="P22" s="53">
        <f>M22-O22</f>
        <v>32.11125070084961</v>
      </c>
      <c r="Q22" s="47">
        <f>SUM((O22+P22)/(H22*D22*(F26/D26)))+G22/H22</f>
        <v>0.83914102701577464</v>
      </c>
      <c r="R22" s="62">
        <f>M22/$M$26*$R$26</f>
        <v>338.25497913906844</v>
      </c>
      <c r="S22" s="54">
        <f>O22+R22</f>
        <v>1010.856640815543</v>
      </c>
      <c r="T22" s="49">
        <f>SUM((O22+R22)/(H22*D22*($F$26/$D$26)))+G22/H22</f>
        <v>0.93024879957248252</v>
      </c>
      <c r="U22" s="55">
        <f>S22-984</f>
        <v>26.85664081554296</v>
      </c>
      <c r="V22" s="56"/>
      <c r="W22" s="64"/>
      <c r="X22" s="43"/>
      <c r="Y22" s="58"/>
      <c r="Z22" s="59"/>
      <c r="AA22" s="43"/>
      <c r="AB22" s="43"/>
      <c r="AC22" s="60"/>
      <c r="AD22" s="61"/>
      <c r="AE22" s="61"/>
      <c r="AF22" s="60"/>
      <c r="AG22" s="43"/>
      <c r="AH22" s="43"/>
      <c r="AI22" s="30"/>
    </row>
    <row r="23" spans="1:35" x14ac:dyDescent="0.2">
      <c r="A23" s="41" t="s">
        <v>25</v>
      </c>
      <c r="B23" s="41" t="s">
        <v>26</v>
      </c>
      <c r="C23" s="41"/>
      <c r="D23" s="44">
        <v>1106</v>
      </c>
      <c r="E23" s="45"/>
      <c r="F23" s="44">
        <v>1752</v>
      </c>
      <c r="G23" s="41">
        <f>(F23/D23)/(F26/D26)</f>
        <v>0.71018249537259182</v>
      </c>
      <c r="H23" s="46">
        <f>'Расчет ИБР'!R11</f>
        <v>0.96482601826640335</v>
      </c>
      <c r="I23" s="47">
        <f>G23/H23</f>
        <v>0.7360731177716846</v>
      </c>
      <c r="J23" s="47">
        <f>G9-I23</f>
        <v>0.42419937746504122</v>
      </c>
      <c r="K23" s="48">
        <f t="shared" si="1"/>
        <v>1009.6786465570631</v>
      </c>
      <c r="L23" s="49">
        <f t="shared" si="0"/>
        <v>1.1602724952367258</v>
      </c>
      <c r="M23" s="48">
        <f>$G$11*((($F$26/$D$26)*($G$9-I23)*H23*D23)/$A$30)</f>
        <v>398.88846256966491</v>
      </c>
      <c r="N23" s="49">
        <f>SUM((M23)/($H23*$D23*($F$26/$D$26)))+$G23/$H23</f>
        <v>0.90365934738744214</v>
      </c>
      <c r="O23" s="52">
        <f>'субвенция на вырав.из РК'!F14</f>
        <v>920.72234699654837</v>
      </c>
      <c r="P23" s="53">
        <f>M23-O23</f>
        <v>-521.83388442688351</v>
      </c>
      <c r="Q23" s="47">
        <f>SUM((O23+P23)/(H23*D23*(F26/D26)))+G23/H23</f>
        <v>0.90365934738744214</v>
      </c>
      <c r="R23" s="62">
        <f>M23/$M$26*$R$26</f>
        <v>191.46237597683424</v>
      </c>
      <c r="S23" s="54">
        <f>O23+R23+0.02</f>
        <v>1112.2047229733826</v>
      </c>
      <c r="T23" s="49">
        <f>SUM((O23+R23)/(H23*D23*($F$26/$D$26)))+G23/H23</f>
        <v>1.2033386865942046</v>
      </c>
      <c r="U23" s="55">
        <f>S23-1087</f>
        <v>25.204722973382559</v>
      </c>
      <c r="V23" s="56"/>
      <c r="W23" s="64"/>
      <c r="X23" s="43"/>
      <c r="Y23" s="58"/>
      <c r="Z23" s="59"/>
      <c r="AA23" s="43"/>
      <c r="AB23" s="43"/>
      <c r="AC23" s="60"/>
      <c r="AD23" s="61"/>
      <c r="AE23" s="61"/>
      <c r="AF23" s="60"/>
      <c r="AG23" s="43"/>
      <c r="AH23" s="43"/>
      <c r="AI23" s="30"/>
    </row>
    <row r="24" spans="1:35" ht="15" thickBot="1" x14ac:dyDescent="0.25">
      <c r="A24" s="65" t="s">
        <v>27</v>
      </c>
      <c r="B24" s="65" t="s">
        <v>28</v>
      </c>
      <c r="C24" s="65"/>
      <c r="D24" s="66">
        <v>1380</v>
      </c>
      <c r="E24" s="67"/>
      <c r="F24" s="66">
        <v>1439</v>
      </c>
      <c r="G24" s="65">
        <f>(F24/D24)/(F26/D26)</f>
        <v>0.4674903992084915</v>
      </c>
      <c r="H24" s="68">
        <f>'Расчет ИБР'!R10</f>
        <v>0.95808437624718945</v>
      </c>
      <c r="I24" s="69">
        <f>G24/H24</f>
        <v>0.48794282716481452</v>
      </c>
      <c r="J24" s="69">
        <f>G9-I24</f>
        <v>0.6723296680719113</v>
      </c>
      <c r="K24" s="70">
        <f t="shared" si="1"/>
        <v>1982.7781832085209</v>
      </c>
      <c r="L24" s="71">
        <f t="shared" si="0"/>
        <v>1.1602724952367258</v>
      </c>
      <c r="M24" s="70">
        <f>$G$11*((($F$26/$D$26)*($G$9-I24)*H24*D24)/$A$30)</f>
        <v>783.3258074870273</v>
      </c>
      <c r="N24" s="71">
        <f>SUM((M24)/($H24*$D24*($F$26/$D$26)))+$G24/$H24</f>
        <v>0.75355659304138256</v>
      </c>
      <c r="O24" s="72">
        <f>'субвенция на вырав.из РК'!F15</f>
        <v>737.91225781027708</v>
      </c>
      <c r="P24" s="73">
        <f>M24-O24</f>
        <v>45.413549676750222</v>
      </c>
      <c r="Q24" s="69">
        <f>SUM((O24+P24)/(H24*D24*(F26/D26)))+G24/H24</f>
        <v>0.75355659304138256</v>
      </c>
      <c r="R24" s="74">
        <f>M24/$M$26*$R$26</f>
        <v>375.98836351213174</v>
      </c>
      <c r="S24" s="75">
        <f>O24+R24</f>
        <v>1113.9006213224088</v>
      </c>
      <c r="T24" s="71">
        <f>SUM((O24+R24)/(H24*D24*($F$26/$D$26)))+G24/H24</f>
        <v>0.86564944172263225</v>
      </c>
      <c r="U24" s="76">
        <f>S24-1085</f>
        <v>28.900621322408824</v>
      </c>
      <c r="V24" s="56"/>
      <c r="W24" s="64"/>
      <c r="X24" s="43"/>
      <c r="Y24" s="58"/>
      <c r="Z24" s="59"/>
      <c r="AA24" s="43"/>
      <c r="AB24" s="43"/>
      <c r="AC24" s="60"/>
      <c r="AD24" s="61"/>
      <c r="AE24" s="61"/>
      <c r="AF24" s="60"/>
      <c r="AG24" s="43"/>
      <c r="AH24" s="43"/>
      <c r="AI24" s="30"/>
    </row>
    <row r="25" spans="1:35" hidden="1" x14ac:dyDescent="0.2">
      <c r="A25" s="77"/>
      <c r="B25" s="77"/>
      <c r="C25" s="77"/>
      <c r="D25" s="78"/>
      <c r="E25" s="77"/>
      <c r="F25" s="78"/>
      <c r="G25" s="77"/>
      <c r="H25" s="79"/>
      <c r="I25" s="77"/>
      <c r="J25" s="77"/>
      <c r="K25" s="78"/>
      <c r="L25" s="78"/>
      <c r="M25" s="78"/>
      <c r="N25" s="78"/>
      <c r="O25" s="80"/>
      <c r="P25" s="81"/>
      <c r="Q25" s="77"/>
      <c r="R25" s="78"/>
      <c r="S25" s="82"/>
      <c r="T25" s="83"/>
      <c r="U25" s="77">
        <f t="shared" ref="U25" si="2">S25-183</f>
        <v>-183</v>
      </c>
      <c r="W25" s="43"/>
      <c r="X25" s="43"/>
      <c r="Y25" s="43"/>
      <c r="Z25" s="43"/>
      <c r="AA25" s="43"/>
      <c r="AB25" s="43"/>
      <c r="AC25" s="43"/>
      <c r="AD25" s="43"/>
      <c r="AE25" s="61"/>
      <c r="AF25" s="43"/>
      <c r="AG25" s="43"/>
      <c r="AH25" s="43"/>
      <c r="AI25" s="30"/>
    </row>
    <row r="26" spans="1:35" ht="25.5" x14ac:dyDescent="0.2">
      <c r="A26" s="41"/>
      <c r="B26" s="41" t="s">
        <v>29</v>
      </c>
      <c r="C26" s="41"/>
      <c r="D26" s="48">
        <f>SUM(D20:D24)</f>
        <v>12471</v>
      </c>
      <c r="E26" s="41"/>
      <c r="F26" s="48">
        <f>SUM(F20:F24)</f>
        <v>27817</v>
      </c>
      <c r="G26" s="41">
        <f>F26/D26</f>
        <v>2.2305348408307273</v>
      </c>
      <c r="H26" s="84"/>
      <c r="I26" s="47">
        <f>(G9-I20)+(G9-I21)+(G9-I22)+(G9-I23)+(G9-I24)</f>
        <v>2.031518644584132</v>
      </c>
      <c r="J26" s="47"/>
      <c r="K26" s="48">
        <f>K21+K22+K23+K24</f>
        <v>6676.2629473265415</v>
      </c>
      <c r="L26" s="48"/>
      <c r="M26" s="48">
        <f>SUM(M20:M24)</f>
        <v>2637.5562876870217</v>
      </c>
      <c r="N26" s="48"/>
      <c r="O26" s="62">
        <f>SUM(O20:O24)</f>
        <v>3192.3</v>
      </c>
      <c r="P26" s="53">
        <f>SUM(P20:P24)</f>
        <v>-410.30131291181829</v>
      </c>
      <c r="Q26" s="41"/>
      <c r="R26" s="62">
        <v>1266</v>
      </c>
      <c r="S26" s="54">
        <f>SUM(S20:S24)</f>
        <v>4458.3200000000006</v>
      </c>
      <c r="T26" s="49"/>
      <c r="U26" s="55">
        <f>SUM(U20:U24)</f>
        <v>112.32000000000062</v>
      </c>
      <c r="W26" s="43"/>
      <c r="X26" s="43"/>
      <c r="Y26" s="43"/>
      <c r="Z26" s="43"/>
      <c r="AA26" s="43"/>
      <c r="AB26" s="60"/>
      <c r="AC26" s="60"/>
      <c r="AD26" s="61"/>
      <c r="AE26" s="61"/>
      <c r="AF26" s="43"/>
      <c r="AG26" s="43"/>
      <c r="AH26" s="43"/>
      <c r="AI26" s="30"/>
    </row>
    <row r="27" spans="1:35" x14ac:dyDescent="0.2">
      <c r="F27" s="85"/>
      <c r="H27" s="86"/>
      <c r="I27" s="87"/>
      <c r="J27" s="87"/>
      <c r="K27" s="87"/>
      <c r="L27" s="87"/>
      <c r="P27" s="88"/>
    </row>
    <row r="28" spans="1:35" x14ac:dyDescent="0.2">
      <c r="H28" s="89"/>
    </row>
    <row r="30" spans="1:35" hidden="1" x14ac:dyDescent="0.2">
      <c r="A30" s="24">
        <f>((F26/D26)*(G9-I20)*H20*D20)+((F26/D26)*(G9-I21)*H21*D21)+((F26/D26)*(G9-I22)*H22*D22)+((F26/D26)*(G9-I23)*H23*D23)+((F26/D26)*(G9-I24)*H24*D24)</f>
        <v>3204.53782570359</v>
      </c>
      <c r="Q30" s="24" t="s">
        <v>30</v>
      </c>
    </row>
  </sheetData>
  <sheetProtection password="C76F" sheet="1" objects="1" scenarios="1"/>
  <mergeCells count="15">
    <mergeCell ref="A14:F14"/>
    <mergeCell ref="A15:F15"/>
    <mergeCell ref="A17:F17"/>
    <mergeCell ref="W17:Z17"/>
    <mergeCell ref="A11:F11"/>
    <mergeCell ref="W11:Z11"/>
    <mergeCell ref="A12:F12"/>
    <mergeCell ref="W12:Z12"/>
    <mergeCell ref="A13:F13"/>
    <mergeCell ref="W13:Z13"/>
    <mergeCell ref="A6:U6"/>
    <mergeCell ref="A7:U7"/>
    <mergeCell ref="A9:F9"/>
    <mergeCell ref="W9:Z9"/>
    <mergeCell ref="A10:F10"/>
  </mergeCells>
  <pageMargins left="0.70866141732283472" right="0.31496062992125984" top="0.74803149606299213" bottom="0.74803149606299213" header="0.51181102362204722" footer="0.51181102362204722"/>
  <pageSetup paperSize="9" scale="91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7" sqref="D17"/>
    </sheetView>
  </sheetViews>
  <sheetFormatPr defaultRowHeight="14.25" x14ac:dyDescent="0.2"/>
  <cols>
    <col min="1" max="1025" width="8.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субвенция на вырав.из РК</vt:lpstr>
      <vt:lpstr>Расчет ИБР</vt:lpstr>
      <vt:lpstr>Расчет дотации</vt:lpstr>
      <vt:lpstr>Лист2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2</cp:revision>
  <cp:lastPrinted>2020-11-20T09:41:19Z</cp:lastPrinted>
  <dcterms:created xsi:type="dcterms:W3CDTF">2017-12-19T14:00:51Z</dcterms:created>
  <dcterms:modified xsi:type="dcterms:W3CDTF">2020-11-24T13:13:04Z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