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Материальные затраты и ОЦДИ" sheetId="1" state="visible" r:id="rId2"/>
    <sheet name="Распределение шт. числ.исходные" sheetId="2" state="visible" r:id="rId3"/>
    <sheet name="Оплата КУ" sheetId="3" state="visible" r:id="rId4"/>
    <sheet name="Заработная плата" sheetId="4" state="visible" r:id="rId5"/>
    <sheet name="Прочие общехозяйственные нужды" sheetId="5" state="visible" r:id="rId6"/>
    <sheet name="Содержание объектов недв.имущ." sheetId="6" state="visible" r:id="rId7"/>
    <sheet name="Содержание объектов,связь, тран" sheetId="7" state="visible" r:id="rId8"/>
    <sheet name="Зп не связ. с оказ.услуги " sheetId="8" state="visible" r:id="rId9"/>
    <sheet name="Расчет коэф." sheetId="9" state="visible" r:id="rId10"/>
    <sheet name="БН" sheetId="10" state="visible" r:id="rId11"/>
  </sheets>
  <definedNames>
    <definedName function="false" hidden="false" localSheetId="9" name="_xlnm.Print_Area" vbProcedure="false">БН!$A$1:$M$19</definedName>
    <definedName function="false" hidden="false" localSheetId="7" name="_xlnm.Print_Area" vbProcedure="false">'Зп не связ. с оказ.услуги '!$A$1:$H$41</definedName>
    <definedName function="false" hidden="false" localSheetId="0" name="_xlnm.Print_Area" vbProcedure="false">'Материальные затраты и ОЦДИ'!$A$1:$G$10</definedName>
    <definedName function="false" hidden="false" localSheetId="2" name="_xlnm.Print_Area" vbProcedure="false">'Оплата КУ'!$A$1:$N$35</definedName>
    <definedName function="false" hidden="false" localSheetId="8" name="_xlnm.Print_Area" vbProcedure="false">'Расчет коэф.'!$A$1:$P$21</definedName>
    <definedName function="false" hidden="false" localSheetId="9" name="_xlnm.Print_Area" vbProcedure="false">БН!$A$1:$P$16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<sst xmlns="http://schemas.openxmlformats.org/spreadsheetml/2006/main" count="409" uniqueCount="155">
  <si>
    <t xml:space="preserve">Расчет затрат на материальные запасы и ОЦДИ</t>
  </si>
  <si>
    <t xml:space="preserve">При планировании бюджетных ассигнований на 2019 год и плановый период 2020-2021 годы главным распорядителем подтверждены потребность на приобретение материальных ресурсов- 100,0 тыс. рублей  и ОЦДИ - 20 тыс. рублей (с учетом полезного использования).</t>
  </si>
  <si>
    <t xml:space="preserve">Всего потребителей услуг-150 человек</t>
  </si>
  <si>
    <t xml:space="preserve">Наименование показателя</t>
  </si>
  <si>
    <t xml:space="preserve">ополнительная предпрофессиональная общеобразовательная программа в области изобразительного искусства «Живопись»</t>
  </si>
  <si>
    <t xml:space="preserve">Дополнительная предпрофессиональная общеобразовательная программа в области музыкального искусства «Фортепиано»</t>
  </si>
  <si>
    <t xml:space="preserve">Дополнительная предпрофессиональная общеобразовательная программа в области музыкального искусства «Народные инструменты»</t>
  </si>
  <si>
    <t xml:space="preserve">Дополнительная общеразвивающая программа для художественного отделени</t>
  </si>
  <si>
    <t xml:space="preserve">Дополнительная общеразвивающая программа по классу специальное фортепиано, академическое пение</t>
  </si>
  <si>
    <t xml:space="preserve">Дополнительная общеразвивающая программа для отделения ОМО</t>
  </si>
  <si>
    <t xml:space="preserve">Дополнительная общеразвивающая программа для вечернего отделения (срок обучения 5 лет)</t>
  </si>
  <si>
    <t xml:space="preserve">Дополнительная общеразвивающая программа для вечернего отделения (срок обучения 3 года)</t>
  </si>
  <si>
    <t xml:space="preserve">Количесто получателей услуг (чел)</t>
  </si>
  <si>
    <t xml:space="preserve">Затраты- всего (рублей)</t>
  </si>
  <si>
    <t xml:space="preserve">Норматив на 1 го плучателя услуг</t>
  </si>
  <si>
    <t xml:space="preserve">Затраты на услугу</t>
  </si>
  <si>
    <t xml:space="preserve">ИСХОДНЫЕ ДАННЫЕ</t>
  </si>
  <si>
    <t xml:space="preserve">УЧРЕЖДЕНИЕ: Муниципальное бюджетное учреждение дополнительного образования «Детская школа искусств»</t>
  </si>
  <si>
    <r>
      <rPr>
        <b val="true"/>
        <sz val="12"/>
        <color rgb="FF000000"/>
        <rFont val="Times New Roman"/>
        <family val="1"/>
        <charset val="204"/>
      </rPr>
      <t xml:space="preserve">УСЛУГА 1</t>
    </r>
    <r>
      <rPr>
        <sz val="12"/>
        <color rgb="FF000000"/>
        <rFont val="Times New Roman"/>
        <family val="1"/>
        <charset val="204"/>
      </rPr>
      <t xml:space="preserve">: Дополнительная предпрофессиональная общеобразовательная программа в области изобразительного искусства «Живопись»</t>
    </r>
  </si>
  <si>
    <r>
      <rPr>
        <b val="true"/>
        <sz val="12"/>
        <color rgb="FF000000"/>
        <rFont val="Times New Roman"/>
        <family val="1"/>
        <charset val="204"/>
      </rPr>
      <t xml:space="preserve">УСЛУГА 2</t>
    </r>
    <r>
      <rPr>
        <sz val="12"/>
        <color rgb="FF000000"/>
        <rFont val="Times New Roman"/>
        <family val="1"/>
        <charset val="204"/>
      </rPr>
      <t xml:space="preserve">: Дополнительная предпрофессиональная общеобразовательная программа в области музыкального искусства «Фортепиано»</t>
    </r>
  </si>
  <si>
    <r>
      <rPr>
        <b val="true"/>
        <sz val="12"/>
        <color rgb="FF000000"/>
        <rFont val="Times New Roman"/>
        <family val="1"/>
        <charset val="204"/>
      </rPr>
      <t xml:space="preserve">УСЛУГА 3</t>
    </r>
    <r>
      <rPr>
        <sz val="12"/>
        <color rgb="FF000000"/>
        <rFont val="Times New Roman"/>
        <family val="1"/>
        <charset val="204"/>
      </rPr>
      <t xml:space="preserve">: Дополнительная предпрофессиональная общеобразовательная программа в области музыкального искусства «Народные инструменты»</t>
    </r>
  </si>
  <si>
    <r>
      <rPr>
        <b val="true"/>
        <sz val="12"/>
        <color rgb="FF000000"/>
        <rFont val="Times New Roman"/>
        <family val="1"/>
        <charset val="204"/>
      </rPr>
      <t xml:space="preserve">УСЛУГА 4</t>
    </r>
    <r>
      <rPr>
        <sz val="12"/>
        <color rgb="FF000000"/>
        <rFont val="Times New Roman"/>
        <family val="1"/>
        <charset val="204"/>
      </rPr>
      <t xml:space="preserve">:Дополнительная общеразвивающая программа для художественного отделения</t>
    </r>
  </si>
  <si>
    <r>
      <rPr>
        <b val="true"/>
        <sz val="12"/>
        <color rgb="FF000000"/>
        <rFont val="Times New Roman"/>
        <family val="1"/>
        <charset val="204"/>
      </rPr>
      <t xml:space="preserve">УСЛУГА 5</t>
    </r>
    <r>
      <rPr>
        <sz val="12"/>
        <color rgb="FF000000"/>
        <rFont val="Times New Roman"/>
        <family val="1"/>
        <charset val="204"/>
      </rPr>
      <t xml:space="preserve">: Дополнительная общеразвивающая программа по классу специальное фортепиано, академическое пение</t>
    </r>
  </si>
  <si>
    <r>
      <rPr>
        <b val="true"/>
        <sz val="11"/>
        <color rgb="FF000000"/>
        <rFont val="Times New Roman"/>
        <family val="1"/>
        <charset val="204"/>
      </rPr>
      <t xml:space="preserve">УСЛУГА 6</t>
    </r>
    <r>
      <rPr>
        <sz val="11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: </t>
    </r>
    <r>
      <rPr>
        <sz val="12"/>
        <color rgb="FF000000"/>
        <rFont val="Times New Roman"/>
        <family val="1"/>
        <charset val="204"/>
      </rPr>
      <t xml:space="preserve">Дополнительная общеразвивающая программа для отделения ОМО</t>
    </r>
  </si>
  <si>
    <r>
      <rPr>
        <b val="true"/>
        <sz val="12"/>
        <color rgb="FF000000"/>
        <rFont val="Times New Roman"/>
        <family val="1"/>
        <charset val="204"/>
      </rPr>
      <t xml:space="preserve">УСЛУГА 7 : </t>
    </r>
    <r>
      <rPr>
        <sz val="12"/>
        <color rgb="FF000000"/>
        <rFont val="Times New Roman"/>
        <family val="1"/>
        <charset val="204"/>
      </rPr>
      <t xml:space="preserve">Дополнительная общеразвивающая программа для вечернего отделения (срок обучения 5 лет)</t>
    </r>
  </si>
  <si>
    <r>
      <rPr>
        <b val="true"/>
        <sz val="12"/>
        <color rgb="FF000000"/>
        <rFont val="Times New Roman"/>
        <family val="1"/>
        <charset val="204"/>
      </rPr>
      <t xml:space="preserve">УСЛУГА 8 :</t>
    </r>
    <r>
      <rPr>
        <sz val="12"/>
        <color rgb="FF000000"/>
        <rFont val="Times New Roman"/>
        <family val="1"/>
        <charset val="204"/>
      </rPr>
      <t xml:space="preserve"> Дополнительная общеразвивающая программа для вечернего отделения (срок обучения 3 года)</t>
    </r>
  </si>
  <si>
    <r>
      <rPr>
        <b val="true"/>
        <sz val="12"/>
        <color rgb="FF000000"/>
        <rFont val="Times New Roman"/>
        <family val="1"/>
        <charset val="204"/>
      </rPr>
      <t xml:space="preserve">НАИМЕНОВАНИЕ ПОКАЗАТЕЛЯ ОБЪЕМА</t>
    </r>
    <r>
      <rPr>
        <sz val="12"/>
        <color rgb="FF000000"/>
        <rFont val="Times New Roman"/>
        <family val="1"/>
        <charset val="204"/>
      </rPr>
      <t xml:space="preserve">:  численность учащихся</t>
    </r>
  </si>
  <si>
    <r>
      <rPr>
        <b val="true"/>
        <sz val="12"/>
        <color rgb="FF000000"/>
        <rFont val="Times New Roman"/>
        <family val="1"/>
        <charset val="204"/>
      </rPr>
      <t xml:space="preserve">МЕТОД РАСПРЕДЕЛЕНИЯ ОБЩЕХОЗЯЙСТВЕННЫХ ЗАТРАТ</t>
    </r>
    <r>
      <rPr>
        <sz val="12"/>
        <color rgb="FF000000"/>
        <rFont val="Times New Roman"/>
        <family val="1"/>
        <charset val="204"/>
      </rPr>
      <t xml:space="preserve">: Время использования имущекственного комплекса</t>
    </r>
  </si>
  <si>
    <t xml:space="preserve">ШТАТНОЕ РАСПИСАНИЕ</t>
  </si>
  <si>
    <t xml:space="preserve">Работники непосредственно, связанные с оказанием услуги  по шт. расписанию</t>
  </si>
  <si>
    <t xml:space="preserve">Количество ставок</t>
  </si>
  <si>
    <t xml:space="preserve">ФОТ</t>
  </si>
  <si>
    <t xml:space="preserve">час. неделя</t>
  </si>
  <si>
    <t xml:space="preserve">Преподаватель</t>
  </si>
  <si>
    <t xml:space="preserve">Директор</t>
  </si>
  <si>
    <t xml:space="preserve">Концертмейстер</t>
  </si>
  <si>
    <t xml:space="preserve">Заместитель директора</t>
  </si>
  <si>
    <t xml:space="preserve">Секретарь-машинистка</t>
  </si>
  <si>
    <t xml:space="preserve">Заведующий хозяйством</t>
  </si>
  <si>
    <t xml:space="preserve">Уборщик служебных помещений</t>
  </si>
  <si>
    <t xml:space="preserve">Сторож</t>
  </si>
  <si>
    <t xml:space="preserve">Вахтер</t>
  </si>
  <si>
    <t xml:space="preserve">Рабочий по обслуживанию здания</t>
  </si>
  <si>
    <t xml:space="preserve">Затраты на оплату коммунальных услуг</t>
  </si>
  <si>
    <t xml:space="preserve">Количество потребителей услуг на имущественном коплексе г. Лахденпохья, ул. Ладожской флотилии, д.1 . - 150 человек.</t>
  </si>
  <si>
    <t xml:space="preserve">Наименование коммунальных услуг</t>
  </si>
  <si>
    <t xml:space="preserve">Ед. измерения нормы</t>
  </si>
  <si>
    <t xml:space="preserve">Утверждено Lim</t>
  </si>
  <si>
    <t xml:space="preserve">Удельный вес получателей данного вида услуг в общем обЪеме получателей услуг</t>
  </si>
  <si>
    <t xml:space="preserve">Нормативный объем</t>
  </si>
  <si>
    <t xml:space="preserve">Норма ресурса на 1 единицу услуги</t>
  </si>
  <si>
    <t xml:space="preserve">Тариф (цена)</t>
  </si>
  <si>
    <t xml:space="preserve">Нормативные затраты</t>
  </si>
  <si>
    <t xml:space="preserve">Общее полезное время использования имущественного комплекса (чел.час)</t>
  </si>
  <si>
    <t xml:space="preserve">Время использования имущественного комплекса на 1 потребителя</t>
  </si>
  <si>
    <t xml:space="preserve">Дополнительная предпрофессиональная общеобразовательная программа в области изобразительного искусства «Живопись»  40 человек, уд.вес 40/150=0,27</t>
  </si>
  <si>
    <t xml:space="preserve">Электроэнергия</t>
  </si>
  <si>
    <t xml:space="preserve">кВт.час</t>
  </si>
  <si>
    <t xml:space="preserve">Теплоэнергия</t>
  </si>
  <si>
    <t xml:space="preserve">Гкал</t>
  </si>
  <si>
    <t xml:space="preserve">Холодное водоснабжение</t>
  </si>
  <si>
    <t xml:space="preserve">куб.м</t>
  </si>
  <si>
    <t xml:space="preserve">Жидкие ТБО</t>
  </si>
  <si>
    <t xml:space="preserve">Дополнительная предпрофессиональная общеобразовательная программа в области музыкального искусства «Фортепиано» 30 человек, уд.вес 30/150=0,2</t>
  </si>
  <si>
    <t xml:space="preserve">дополнительная предпрофессиональная общеобразовательная программа в области музыкального искусства «Народные инструменты» 4 человека, уд.вес 4/150=0,03</t>
  </si>
  <si>
    <t xml:space="preserve">Дополнительная общеразвивающая программа для художественного отделения 27 человек, уд.вес 27/150=0,18</t>
  </si>
  <si>
    <t xml:space="preserve">Дополнительная общеразвивающая программа по классу специальное фортепиано, академическое пение 5 человек, уд.вес 5/150=0,03</t>
  </si>
  <si>
    <t xml:space="preserve">Дополнительная общеразвивающая программа для отделения ОМО 24 человека, уд.вес 24/150=0,16</t>
  </si>
  <si>
    <t xml:space="preserve">Дополнительная общеразвивающая программа для вечернего отделения (срок обучения 5 лет) 8 человек, уд.вес 8/150=0,05</t>
  </si>
  <si>
    <t xml:space="preserve">Дополнительная общеразвивающая программа для вечернего отделения (срок обучения 3 года) 12 человек, уд.вес 12/150=0,08</t>
  </si>
  <si>
    <t xml:space="preserve">ЗАТРАТЫ НА ЗАРАБОТНУЮ ПЛАТУ С НАЧИСЛЕНИЯМИ РАБОТНИКОВ, НЕПОСРЕДСТВЕННО СВЯЗАННЫХ С ОКАЗАНИЕМ УСЛУГИ</t>
  </si>
  <si>
    <t xml:space="preserve">Количество потребителей услуг-150 человек.</t>
  </si>
  <si>
    <t xml:space="preserve">Рабочих часов в год: 1772,4 часа - производственный календарь на 2019 год</t>
  </si>
  <si>
    <t xml:space="preserve">Фонд заработной платы - 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</si>
  <si>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Работники непосредственно, связанные с оказанием услуги </t>
  </si>
  <si>
    <t xml:space="preserve">Количество затраченных человеко-часов</t>
  </si>
  <si>
    <t xml:space="preserve">Количество потребителей услуги</t>
  </si>
  <si>
    <t xml:space="preserve">Норма трудозатрат на оказание 1 ед. услуги</t>
  </si>
  <si>
    <t xml:space="preserve">Стоимость одного человека-часа </t>
  </si>
  <si>
    <t xml:space="preserve">стимулирующие выплаты</t>
  </si>
  <si>
    <t xml:space="preserve">ИТОГО ОПЛАТА ТРУДА</t>
  </si>
  <si>
    <t xml:space="preserve">Педагог дополнительного образования не на имущественном комплексе по адресу г.Лахденпохья, Ладожской флотилии д.1. </t>
  </si>
  <si>
    <t xml:space="preserve">средняя годовая норма раб. Времени на 1 ст.</t>
  </si>
  <si>
    <t xml:space="preserve">к-во  чел.час. На 1 потребителя - время использования имущественного комплекса на 1 потребителя</t>
  </si>
  <si>
    <t xml:space="preserve">к-во  чел.час. На 1 потребителя - время использования имущественного комплекса на 1 потребителя без учета села и города</t>
  </si>
  <si>
    <t xml:space="preserve">При планировании бюджетных ассигнований на 2019 год и плановый период 2020-2021 годы главным распорядителем подтверждены потребность на приобретение материальных ресурсов- 70,0 тыс. рублей  и ОЦДИ - 30 тыс. рублей (с учетом полезного использования).</t>
  </si>
  <si>
    <t xml:space="preserve">ЗАТРАТЫ НА СОДЕРЖАНИЕ ОБЪЕКТОВ НЕДВИЖИМОГО ИМУЩЕСТВА</t>
  </si>
  <si>
    <t xml:space="preserve">Наименование затрат </t>
  </si>
  <si>
    <t xml:space="preserve">Ед.измерения нормы</t>
  </si>
  <si>
    <t xml:space="preserve">Тариф (цена), рублей</t>
  </si>
  <si>
    <t xml:space="preserve">Общее полезное время использования имущественного комплекса</t>
  </si>
  <si>
    <t xml:space="preserve">Норма затрат на 1 ед. услуги</t>
  </si>
  <si>
    <t xml:space="preserve">Обслуживание АПС</t>
  </si>
  <si>
    <t xml:space="preserve">Услуги охраны</t>
  </si>
  <si>
    <t xml:space="preserve">Дезинсекция </t>
  </si>
  <si>
    <t xml:space="preserve">Проверка электромагнитных преобразователей тока</t>
  </si>
  <si>
    <t xml:space="preserve">Контрольные испытания электрооборудования</t>
  </si>
  <si>
    <t xml:space="preserve">Огнезащитная обработка деревянных конструкций</t>
  </si>
  <si>
    <t xml:space="preserve">Противопожарные мероприятия</t>
  </si>
  <si>
    <t xml:space="preserve">Содержание инженерных сетей</t>
  </si>
  <si>
    <t xml:space="preserve">Промывка и опрессовка системы</t>
  </si>
  <si>
    <t xml:space="preserve">Вывоз и утилизация мусора</t>
  </si>
  <si>
    <t xml:space="preserve">Уплата налогов на им.</t>
  </si>
  <si>
    <t xml:space="preserve">Уплата налогов землю</t>
  </si>
  <si>
    <t xml:space="preserve">ИТОГО СОДЕРЖАНИЕ ОБЪЕКТОВ НЕДВИЖИМОГО ИМУЩЕСТВА</t>
  </si>
  <si>
    <t xml:space="preserve">ЗАТРАТЫ НА СОДЕРЖАНИЕ ОБЪЕКТОВ ОЦДИ, УСЛУГ СВЯЗИ, транспортные услуги</t>
  </si>
  <si>
    <t xml:space="preserve">Наименование затрат</t>
  </si>
  <si>
    <t xml:space="preserve">Ед. изм. Нормы</t>
  </si>
  <si>
    <t xml:space="preserve">Заправка и ремонт картриджей</t>
  </si>
  <si>
    <t xml:space="preserve">кол-во устройств, единиц</t>
  </si>
  <si>
    <t xml:space="preserve">ИТОГО СОДЕРЖАНИЕ ОЦДИ</t>
  </si>
  <si>
    <t xml:space="preserve">Абонентская плата "Ростелеком"</t>
  </si>
  <si>
    <t xml:space="preserve">кол-во номеров, единиц</t>
  </si>
  <si>
    <t xml:space="preserve">Внутризоновые соединения</t>
  </si>
  <si>
    <t xml:space="preserve">Междугородние соединения</t>
  </si>
  <si>
    <t xml:space="preserve">Услуга доступа в "Интернет"</t>
  </si>
  <si>
    <t xml:space="preserve">Абонетская плата "Билайн"</t>
  </si>
  <si>
    <t xml:space="preserve">ИТОГО УСЛУГИ СВЯЗИ</t>
  </si>
  <si>
    <t xml:space="preserve">По району</t>
  </si>
  <si>
    <t xml:space="preserve">кол-во поездок, единиц</t>
  </si>
  <si>
    <t xml:space="preserve">ИТОГО ТРАНСПОРТНЫЕ УСЛУГИ</t>
  </si>
  <si>
    <t xml:space="preserve">ЗАТРАТЫ НА ОПЛАТУ ТРУДА (С НАЧИСЛЕНИЯМИ) РАБОТНИКОВ НЕПОСРЕДСТВЕННО НЕСВЯЗАННЫХ С ОКАЗАНИЕМ УСЛУГИ</t>
  </si>
  <si>
    <t xml:space="preserve">Должность по штатному расписанию</t>
  </si>
  <si>
    <t xml:space="preserve">МФОТ</t>
  </si>
  <si>
    <t xml:space="preserve">ГФОТ с учетом ставок и отчислений</t>
  </si>
  <si>
    <t xml:space="preserve">ИТОГО НОРМАТИВ</t>
  </si>
  <si>
    <t xml:space="preserve">БАЗОВЫЙ расчет коэффициентов</t>
  </si>
  <si>
    <t xml:space="preserve">Наименование муниципальной услуги</t>
  </si>
  <si>
    <t xml:space="preserve">Затраты, непосредственно связанные с оказанием услуги, руб.</t>
  </si>
  <si>
    <t xml:space="preserve">Затраты на общехозяйственные нужды, руб</t>
  </si>
  <si>
    <t xml:space="preserve">Базовый норматив затрат на оказание услуги, руб.</t>
  </si>
  <si>
    <t xml:space="preserve">Всего получателей услуг</t>
  </si>
  <si>
    <t xml:space="preserve">∑ затрат на оказание услуги</t>
  </si>
  <si>
    <t xml:space="preserve">Всего получателей услуг на им. Комплексе уч-я</t>
  </si>
  <si>
    <t xml:space="preserve">∑ затрат на оказание услуги на им.комплексеуч-я</t>
  </si>
  <si>
    <t xml:space="preserve">ОТ1</t>
  </si>
  <si>
    <t xml:space="preserve">МЗ и ОЦДИ</t>
  </si>
  <si>
    <t xml:space="preserve">ИНЗ</t>
  </si>
  <si>
    <t xml:space="preserve">КУ</t>
  </si>
  <si>
    <t xml:space="preserve">СНИ</t>
  </si>
  <si>
    <t xml:space="preserve">СОЦДИ</t>
  </si>
  <si>
    <t xml:space="preserve">УС</t>
  </si>
  <si>
    <t xml:space="preserve">ТУ</t>
  </si>
  <si>
    <t xml:space="preserve">ОТ2</t>
  </si>
  <si>
    <t xml:space="preserve">ПНЗ</t>
  </si>
  <si>
    <t xml:space="preserve">12=2+3+4+5+6+7+8+9+10+11</t>
  </si>
  <si>
    <t xml:space="preserve">14=12*13</t>
  </si>
  <si>
    <t xml:space="preserve">Дополнительная общеразвивающая программа для художественного отделения 27 человек /150=0,18</t>
  </si>
  <si>
    <t xml:space="preserve">Коэффициент территориальный:</t>
  </si>
  <si>
    <t xml:space="preserve">K=  ∑затрат  на оказание услуг  имущественном комплексе учреждения/ ∑затрат на оказание услуг всего</t>
  </si>
  <si>
    <t xml:space="preserve">Коэффициент платной деятельности 8980,3/8980,3+686,6(Пл.Д.2017 г. ДМШ 287,6+ДХШ281,7+ДШИ117,3)</t>
  </si>
  <si>
    <t xml:space="preserve">БАЗОВЫЙ НОРМАТИВ ЗАТРАТ</t>
  </si>
  <si>
    <t xml:space="preserve">Приложение 2</t>
  </si>
  <si>
    <t xml:space="preserve">МБУ ДО "ДШИ"</t>
  </si>
  <si>
    <t xml:space="preserve">к Постановлению Администрации Лахденпохского муниципального района №_____ от _____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</si>
</sst>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_р_._-;\-* #,##0.00_р_._-;_-* \-??_р_._-;_-@_-"/>
    <numFmt numFmtId="166" formatCode="0.00"/>
    <numFmt numFmtId="167" formatCode="0"/>
    <numFmt numFmtId="168" formatCode="0.000"/>
    <numFmt numFmtId="169" formatCode="0.0"/>
    <numFmt numFmtId="170" formatCode="#,##0.00"/>
    <numFmt numFmtId="171" formatCode="0.0000"/>
    <numFmt numFmtId="172" formatCode="0.00000000"/>
  </numFmts>
  <fonts count="2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 val="true"/>
      <sz val="14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2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2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2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0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J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4" activeCellId="0" sqref="A14"/>
    </sheetView>
  </sheetViews>
  <sheetFormatPr defaultRowHeight="15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11.86"/>
    <col collapsed="false" customWidth="true" hidden="false" outlineLevel="0" max="3" min="3" style="1" width="16.57"/>
    <col collapsed="false" customWidth="true" hidden="false" outlineLevel="0" max="4" min="4" style="1" width="19.85"/>
    <col collapsed="false" customWidth="true" hidden="false" outlineLevel="0" max="5" min="5" style="1" width="19.31"/>
    <col collapsed="false" customWidth="true" hidden="false" outlineLevel="0" max="6" min="6" style="1" width="10.58"/>
    <col collapsed="false" customWidth="true" hidden="false" outlineLevel="0" max="7" min="7" style="1" width="15.71"/>
    <col collapsed="false" customWidth="true" hidden="false" outlineLevel="0" max="8" min="8" style="1" width="11.14"/>
    <col collapsed="false" customWidth="true" hidden="false" outlineLevel="0" max="9" min="9" style="1" width="11.3"/>
    <col collapsed="false" customWidth="true" hidden="false" outlineLevel="0" max="10" min="10" style="1" width="10.99"/>
    <col collapsed="false" customWidth="true" hidden="false" outlineLevel="0" max="1025" min="11" style="1" width="9.13"/>
  </cols>
  <sheetData>
    <row r="1" customFormat="false" ht="35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45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  <row r="3" customFormat="false" ht="45" hidden="false" customHeight="true" outlineLevel="0" collapsed="false">
      <c r="A3" s="3" t="s">
        <v>2</v>
      </c>
      <c r="B3" s="3"/>
      <c r="C3" s="3"/>
      <c r="D3" s="3"/>
      <c r="E3" s="3"/>
      <c r="F3" s="3"/>
      <c r="G3" s="3"/>
    </row>
    <row r="4" customFormat="false" ht="147" hidden="false" customHeight="true" outlineLevel="0" collapsed="false">
      <c r="A4" s="4" t="s">
        <v>3</v>
      </c>
      <c r="B4" s="4"/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</row>
    <row r="5" customFormat="false" ht="47.25" hidden="false" customHeight="false" outlineLevel="0" collapsed="false">
      <c r="A5" s="6" t="s">
        <v>12</v>
      </c>
      <c r="B5" s="6" t="n">
        <v>150</v>
      </c>
      <c r="C5" s="7" t="n">
        <v>40</v>
      </c>
      <c r="D5" s="7" t="n">
        <v>30</v>
      </c>
      <c r="E5" s="7" t="n">
        <v>4</v>
      </c>
      <c r="F5" s="7" t="n">
        <v>27</v>
      </c>
      <c r="G5" s="7" t="n">
        <v>5</v>
      </c>
      <c r="H5" s="7" t="n">
        <v>24</v>
      </c>
      <c r="I5" s="7" t="n">
        <v>8</v>
      </c>
      <c r="J5" s="7" t="n">
        <v>12</v>
      </c>
    </row>
    <row r="6" customFormat="false" ht="34.5" hidden="false" customHeight="true" outlineLevel="0" collapsed="false">
      <c r="A6" s="4" t="s">
        <v>13</v>
      </c>
      <c r="B6" s="8" t="n">
        <v>120000</v>
      </c>
      <c r="C6" s="9"/>
      <c r="D6" s="9"/>
      <c r="E6" s="9"/>
      <c r="F6" s="9"/>
      <c r="G6" s="9"/>
      <c r="H6" s="10"/>
      <c r="I6" s="10"/>
      <c r="J6" s="10"/>
    </row>
    <row r="7" customFormat="false" ht="31.5" hidden="false" customHeight="false" outlineLevel="0" collapsed="false">
      <c r="A7" s="4" t="s">
        <v>14</v>
      </c>
      <c r="B7" s="11" t="n">
        <f aca="false">SUM(B6/B5)</f>
        <v>800</v>
      </c>
      <c r="C7" s="12"/>
      <c r="D7" s="12"/>
      <c r="E7" s="12"/>
      <c r="F7" s="12"/>
      <c r="G7" s="12"/>
      <c r="H7" s="10"/>
      <c r="I7" s="10"/>
      <c r="J7" s="10"/>
    </row>
    <row r="8" customFormat="false" ht="21" hidden="false" customHeight="true" outlineLevel="0" collapsed="false">
      <c r="A8" s="4" t="s">
        <v>15</v>
      </c>
      <c r="B8" s="9"/>
      <c r="C8" s="13" t="n">
        <f aca="false">SUM(B7*C5)</f>
        <v>32000</v>
      </c>
      <c r="D8" s="13" t="n">
        <f aca="false">SUM(B7*D5)</f>
        <v>24000</v>
      </c>
      <c r="E8" s="13" t="n">
        <f aca="false">SUM(B7*E5)</f>
        <v>3200</v>
      </c>
      <c r="F8" s="13" t="n">
        <f aca="false">SUM(B7*F5)</f>
        <v>21600</v>
      </c>
      <c r="G8" s="13" t="n">
        <f aca="false">SUM(B7*G5)</f>
        <v>4000</v>
      </c>
      <c r="H8" s="10" t="n">
        <f aca="false">H5*B7</f>
        <v>19200</v>
      </c>
      <c r="I8" s="10" t="n">
        <f aca="false">I5*B7</f>
        <v>6400</v>
      </c>
      <c r="J8" s="10" t="n">
        <f aca="false">J5*B7</f>
        <v>9600</v>
      </c>
    </row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7" man="true" max="65535" min="0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21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G21" activeCellId="0" sqref="G21"/>
    </sheetView>
  </sheetViews>
  <sheetFormatPr defaultRowHeight="13.8" zeroHeight="false" outlineLevelRow="0" outlineLevelCol="0"/>
  <cols>
    <col collapsed="false" customWidth="true" hidden="false" outlineLevel="0" max="1" min="1" style="77" width="77.43"/>
    <col collapsed="false" customWidth="true" hidden="false" outlineLevel="0" max="2" min="2" style="77" width="12.71"/>
    <col collapsed="false" customWidth="true" hidden="false" outlineLevel="0" max="3" min="3" style="77" width="11.14"/>
    <col collapsed="false" customWidth="true" hidden="false" outlineLevel="0" max="6" min="4" style="77" width="9.85"/>
    <col collapsed="false" customWidth="true" hidden="false" outlineLevel="0" max="7" min="7" style="77" width="9.42"/>
    <col collapsed="false" customWidth="true" hidden="false" outlineLevel="0" max="9" min="8" style="77" width="9.71"/>
    <col collapsed="false" customWidth="true" hidden="false" outlineLevel="0" max="11" min="10" style="77" width="10.85"/>
    <col collapsed="false" customWidth="true" hidden="false" outlineLevel="0" max="12" min="12" style="77" width="38.9"/>
    <col collapsed="false" customWidth="true" hidden="false" outlineLevel="0" max="13" min="13" style="77" width="9.42"/>
    <col collapsed="false" customWidth="true" hidden="false" outlineLevel="0" max="14" min="14" style="77" width="11.14"/>
    <col collapsed="false" customWidth="true" hidden="false" outlineLevel="0" max="15" min="15" style="77" width="11.3"/>
    <col collapsed="false" customWidth="true" hidden="false" outlineLevel="0" max="16" min="16" style="77" width="11.14"/>
    <col collapsed="false" customWidth="true" hidden="false" outlineLevel="0" max="1025" min="17" style="77" width="9.13"/>
  </cols>
  <sheetData>
    <row r="1" customFormat="false" ht="15" hidden="false" customHeight="false" outlineLevel="0" collapsed="false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customFormat="false" ht="15" hidden="false" customHeight="true" outlineLevel="0" collapsed="false">
      <c r="A2" s="119"/>
      <c r="B2" s="119" t="s">
        <v>151</v>
      </c>
      <c r="C2" s="119"/>
      <c r="D2" s="119"/>
      <c r="E2" s="119"/>
      <c r="F2" s="119"/>
      <c r="G2" s="119"/>
      <c r="H2" s="119"/>
      <c r="I2" s="119"/>
      <c r="J2" s="175"/>
      <c r="K2" s="176" t="s">
        <v>152</v>
      </c>
      <c r="L2" s="176"/>
      <c r="M2" s="177"/>
    </row>
    <row r="3" customFormat="false" ht="41.25" hidden="false" customHeight="true" outlineLevel="0" collapsed="false">
      <c r="A3" s="119"/>
      <c r="B3" s="119"/>
      <c r="C3" s="119"/>
      <c r="D3" s="119" t="s">
        <v>153</v>
      </c>
      <c r="E3" s="119"/>
      <c r="F3" s="119"/>
      <c r="G3" s="119"/>
      <c r="H3" s="119"/>
      <c r="I3" s="119"/>
      <c r="J3" s="119"/>
      <c r="K3" s="176" t="s">
        <v>154</v>
      </c>
      <c r="L3" s="176"/>
      <c r="M3" s="177"/>
    </row>
    <row r="4" customFormat="false" ht="15" hidden="false" customHeight="false" outlineLevel="0" collapsed="false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customFormat="false" ht="41.25" hidden="false" customHeight="true" outlineLevel="0" collapsed="false">
      <c r="A5" s="120" t="s">
        <v>127</v>
      </c>
      <c r="B5" s="120" t="s">
        <v>128</v>
      </c>
      <c r="C5" s="120"/>
      <c r="D5" s="120"/>
      <c r="E5" s="120" t="s">
        <v>129</v>
      </c>
      <c r="F5" s="120"/>
      <c r="G5" s="120"/>
      <c r="H5" s="120"/>
      <c r="I5" s="120"/>
      <c r="J5" s="120"/>
      <c r="K5" s="120"/>
      <c r="L5" s="120" t="s">
        <v>130</v>
      </c>
    </row>
    <row r="6" customFormat="false" ht="27.5" hidden="false" customHeight="false" outlineLevel="0" collapsed="false">
      <c r="A6" s="120"/>
      <c r="B6" s="125" t="s">
        <v>135</v>
      </c>
      <c r="C6" s="126" t="s">
        <v>136</v>
      </c>
      <c r="D6" s="127" t="s">
        <v>137</v>
      </c>
      <c r="E6" s="125" t="s">
        <v>138</v>
      </c>
      <c r="F6" s="126" t="s">
        <v>139</v>
      </c>
      <c r="G6" s="126" t="s">
        <v>140</v>
      </c>
      <c r="H6" s="126" t="s">
        <v>141</v>
      </c>
      <c r="I6" s="126" t="s">
        <v>142</v>
      </c>
      <c r="J6" s="126" t="s">
        <v>143</v>
      </c>
      <c r="K6" s="127" t="s">
        <v>144</v>
      </c>
      <c r="L6" s="120"/>
    </row>
    <row r="7" customFormat="false" ht="15" hidden="false" customHeight="false" outlineLevel="0" collapsed="false">
      <c r="A7" s="129" t="n">
        <v>1</v>
      </c>
      <c r="B7" s="130" t="n">
        <v>2</v>
      </c>
      <c r="C7" s="131" t="n">
        <v>3</v>
      </c>
      <c r="D7" s="132" t="n">
        <v>4</v>
      </c>
      <c r="E7" s="130" t="n">
        <v>5</v>
      </c>
      <c r="F7" s="131" t="n">
        <v>6</v>
      </c>
      <c r="G7" s="131" t="n">
        <v>7</v>
      </c>
      <c r="H7" s="131" t="n">
        <v>8</v>
      </c>
      <c r="I7" s="131" t="n">
        <v>9</v>
      </c>
      <c r="J7" s="131" t="n">
        <v>10</v>
      </c>
      <c r="K7" s="132" t="n">
        <v>11</v>
      </c>
      <c r="L7" s="129" t="s">
        <v>145</v>
      </c>
    </row>
    <row r="8" customFormat="false" ht="41.25" hidden="false" customHeight="false" outlineLevel="0" collapsed="false">
      <c r="A8" s="138" t="s">
        <v>55</v>
      </c>
      <c r="B8" s="178" t="n">
        <f aca="false">'Заработная плата'!H15</f>
        <v>51458.680392</v>
      </c>
      <c r="C8" s="140" t="n">
        <f aca="false">SUM('Материальные затраты и ОЦДИ'!B7)</f>
        <v>800</v>
      </c>
      <c r="D8" s="141" t="n">
        <v>0</v>
      </c>
      <c r="E8" s="179" t="n">
        <f aca="false">SUM('Оплата КУ'!N10)</f>
        <v>3849.74034525</v>
      </c>
      <c r="F8" s="140" t="n">
        <f aca="false">SUM('Содержание объектов недв.имущ.'!H18)</f>
        <v>1505.95659</v>
      </c>
      <c r="G8" s="140" t="n">
        <f aca="false">SUM('Содержание объектов,связь, тран'!I5)</f>
        <v>29.2497971605458</v>
      </c>
      <c r="H8" s="140" t="n">
        <f aca="false">SUM('Содержание объектов,связь, тран'!I13)</f>
        <v>13.0337096147392</v>
      </c>
      <c r="I8" s="140" t="n">
        <f aca="false">SUM('Содержание объектов,связь, тран'!I20)</f>
        <v>240.684045206777</v>
      </c>
      <c r="J8" s="140" t="n">
        <f aca="false">SUM('Зп не связ. с оказ.услуги '!H28)</f>
        <v>26850.04488</v>
      </c>
      <c r="K8" s="141" t="n">
        <f aca="false">SUM('Прочие общехозяйственные нужды'!B7)</f>
        <v>666.666666666667</v>
      </c>
      <c r="L8" s="143" t="n">
        <f aca="false">B8+C8+D8+E8+F8+G8+H8+I8+J8+K8</f>
        <v>85414.0564258987</v>
      </c>
    </row>
    <row r="9" customFormat="false" ht="27.5" hidden="false" customHeight="false" outlineLevel="0" collapsed="false">
      <c r="A9" s="144" t="s">
        <v>63</v>
      </c>
      <c r="B9" s="178" t="n">
        <f aca="false">'Заработная плата'!H15</f>
        <v>51458.680392</v>
      </c>
      <c r="C9" s="140" t="n">
        <f aca="false">SUM('Материальные затраты и ОЦДИ'!B7)</f>
        <v>800</v>
      </c>
      <c r="D9" s="141" t="n">
        <v>0</v>
      </c>
      <c r="E9" s="179" t="n">
        <f aca="false">SUM('Оплата КУ'!N16)</f>
        <v>3737.27268666667</v>
      </c>
      <c r="F9" s="140" t="n">
        <f aca="false">SUM('Содержание объектов недв.имущ.'!H37)</f>
        <v>1487.36453333333</v>
      </c>
      <c r="G9" s="140" t="n">
        <f aca="false">SUM('Содержание объектов,связь, тран'!I5)</f>
        <v>29.2497971605458</v>
      </c>
      <c r="H9" s="140" t="n">
        <f aca="false">SUM('Содержание объектов,связь, тран'!I13)</f>
        <v>13.0337096147392</v>
      </c>
      <c r="I9" s="140" t="n">
        <f aca="false">SUM('Содержание объектов,связь, тран'!I20)</f>
        <v>240.684045206777</v>
      </c>
      <c r="J9" s="140" t="n">
        <f aca="false">SUM('Зп не связ. с оказ.услуги '!H28)</f>
        <v>26850.04488</v>
      </c>
      <c r="K9" s="141" t="n">
        <f aca="false">SUM('Прочие общехозяйственные нужды'!B7)</f>
        <v>666.666666666667</v>
      </c>
      <c r="L9" s="143" t="n">
        <f aca="false">B9+C9+D9+E9+F9+G9+H9+I9+J9+K9</f>
        <v>85282.9967106487</v>
      </c>
    </row>
    <row r="10" customFormat="false" ht="41.25" hidden="false" customHeight="false" outlineLevel="0" collapsed="false">
      <c r="A10" s="144" t="s">
        <v>64</v>
      </c>
      <c r="B10" s="178" t="n">
        <f aca="false">'Заработная плата'!H15</f>
        <v>51458.680392</v>
      </c>
      <c r="C10" s="140" t="n">
        <f aca="false">SUM('Материальные затраты и ОЦДИ'!B7)</f>
        <v>800</v>
      </c>
      <c r="D10" s="141" t="n">
        <v>0</v>
      </c>
      <c r="E10" s="179" t="n">
        <f aca="false">SUM('Оплата КУ'!N22)</f>
        <v>4277.4892725</v>
      </c>
      <c r="F10" s="140" t="n">
        <f aca="false">SUM('Содержание объектов недв.имущ.'!H56)</f>
        <v>1673.2851</v>
      </c>
      <c r="G10" s="140" t="n">
        <f aca="false">SUM('Содержание объектов,связь, тран'!I5)</f>
        <v>29.2497971605458</v>
      </c>
      <c r="H10" s="140" t="n">
        <f aca="false">SUM('Содержание объектов,связь, тран'!I13)</f>
        <v>13.0337096147392</v>
      </c>
      <c r="I10" s="140" t="n">
        <f aca="false">SUM('Содержание объектов,связь, тран'!I20)</f>
        <v>240.684045206777</v>
      </c>
      <c r="J10" s="140" t="n">
        <f aca="false">SUM('Зп не связ. с оказ.услуги '!H28)</f>
        <v>26850.04488</v>
      </c>
      <c r="K10" s="141" t="n">
        <f aca="false">SUM('Прочие общехозяйственные нужды'!B7)</f>
        <v>666.666666666667</v>
      </c>
      <c r="L10" s="143" t="n">
        <f aca="false">B10+C10+D10+E10+F10+G10+H10+I10+J10+K10</f>
        <v>86009.1338631487</v>
      </c>
    </row>
    <row r="11" customFormat="false" ht="27.5" hidden="false" customHeight="false" outlineLevel="0" collapsed="false">
      <c r="A11" s="144" t="s">
        <v>147</v>
      </c>
      <c r="B11" s="178" t="n">
        <f aca="false">'Заработная плата'!H15</f>
        <v>51458.680392</v>
      </c>
      <c r="C11" s="140" t="n">
        <f aca="false">SUM('Материальные затраты и ОЦДИ'!B7)</f>
        <v>800</v>
      </c>
      <c r="D11" s="141" t="n">
        <v>0</v>
      </c>
      <c r="E11" s="179" t="n">
        <f aca="false">SUM('Оплата КУ'!N28)</f>
        <v>3802.21268666667</v>
      </c>
      <c r="F11" s="140" t="n">
        <f aca="false">SUM('Содержание объектов недв.имущ.'!H75)</f>
        <v>1487.36453333333</v>
      </c>
      <c r="G11" s="140" t="n">
        <f aca="false">SUM('Содержание объектов,связь, тран'!I5)</f>
        <v>29.2497971605458</v>
      </c>
      <c r="H11" s="140" t="n">
        <f aca="false">SUM('Содержание объектов,связь, тран'!I13)</f>
        <v>13.0337096147392</v>
      </c>
      <c r="I11" s="140" t="n">
        <f aca="false">SUM('Содержание объектов,связь, тран'!I20)</f>
        <v>240.684045206777</v>
      </c>
      <c r="J11" s="140" t="n">
        <f aca="false">SUM('Зп не связ. с оказ.услуги '!H28)</f>
        <v>26850.04488</v>
      </c>
      <c r="K11" s="141" t="n">
        <f aca="false">SUM('Прочие общехозяйственные нужды'!B7)</f>
        <v>666.666666666667</v>
      </c>
      <c r="L11" s="143" t="n">
        <f aca="false">B11+C11+D11+E11+F11+G11+H11+I11+J11+K11</f>
        <v>85347.9367106487</v>
      </c>
    </row>
    <row r="12" customFormat="false" ht="27.5" hidden="false" customHeight="false" outlineLevel="0" collapsed="false">
      <c r="A12" s="146" t="s">
        <v>66</v>
      </c>
      <c r="B12" s="178" t="n">
        <f aca="false">'Заработная плата'!H15</f>
        <v>51458.680392</v>
      </c>
      <c r="C12" s="148" t="n">
        <f aca="false">SUM('Материальные затраты и ОЦДИ'!B7)</f>
        <v>800</v>
      </c>
      <c r="D12" s="151" t="n">
        <v>0</v>
      </c>
      <c r="E12" s="180" t="n">
        <f aca="false">SUM('Оплата КУ'!N34)</f>
        <v>3421.991418</v>
      </c>
      <c r="F12" s="148" t="n">
        <f aca="false">SUM('Содержание объектов недв.имущ.'!H94)</f>
        <v>1278.38808</v>
      </c>
      <c r="G12" s="148" t="n">
        <f aca="false">SUM('Содержание объектов,связь, тран'!I5)</f>
        <v>29.2497971605458</v>
      </c>
      <c r="H12" s="148" t="n">
        <f aca="false">SUM('Содержание объектов,связь, тран'!I13)</f>
        <v>13.0337096147392</v>
      </c>
      <c r="I12" s="148" t="n">
        <f aca="false">SUM('Содержание объектов,связь, тран'!I20)</f>
        <v>240.684045206777</v>
      </c>
      <c r="J12" s="148" t="n">
        <f aca="false">SUM('Зп не связ. с оказ.услуги '!H28)</f>
        <v>26850.04488</v>
      </c>
      <c r="K12" s="151" t="n">
        <f aca="false">SUM('Прочие общехозяйственные нужды'!B7)</f>
        <v>666.666666666667</v>
      </c>
      <c r="L12" s="181" t="n">
        <f aca="false">B12+C12+D12+E12+F12+G12+H12+I12+J12+K12</f>
        <v>84758.7389886487</v>
      </c>
    </row>
    <row r="13" customFormat="false" ht="27.5" hidden="false" customHeight="false" outlineLevel="0" collapsed="false">
      <c r="A13" s="144" t="s">
        <v>67</v>
      </c>
      <c r="B13" s="178" t="n">
        <f aca="false">'Заработная плата'!H15</f>
        <v>51458.680392</v>
      </c>
      <c r="C13" s="148" t="n">
        <f aca="false">'Материальные затраты и ОЦДИ'!B7</f>
        <v>800</v>
      </c>
      <c r="D13" s="151" t="n">
        <v>0</v>
      </c>
      <c r="E13" s="179" t="n">
        <f aca="false">'Оплата КУ'!N40</f>
        <v>3802.21268666667</v>
      </c>
      <c r="F13" s="140" t="n">
        <f aca="false">'Содержание объектов недв.имущ.'!H113</f>
        <v>1420.4312</v>
      </c>
      <c r="G13" s="140" t="n">
        <f aca="false">'Содержание объектов,связь, тран'!I5</f>
        <v>29.2497971605458</v>
      </c>
      <c r="H13" s="140" t="n">
        <f aca="false">'Содержание объектов,связь, тран'!I13</f>
        <v>13.0337096147392</v>
      </c>
      <c r="I13" s="148" t="n">
        <f aca="false">'Содержание объектов,связь, тран'!I20</f>
        <v>240.684045206777</v>
      </c>
      <c r="J13" s="131" t="n">
        <v>26850.04</v>
      </c>
      <c r="K13" s="132" t="n">
        <v>666.67</v>
      </c>
      <c r="L13" s="181" t="n">
        <f aca="false">B13+C13+D13+E13+F13+G13+H13+I13+J13+K13</f>
        <v>85281.0018306487</v>
      </c>
    </row>
    <row r="14" customFormat="false" ht="27.5" hidden="false" customHeight="false" outlineLevel="0" collapsed="false">
      <c r="A14" s="144" t="s">
        <v>68</v>
      </c>
      <c r="B14" s="178" t="n">
        <f aca="false">'Заработная плата'!H15</f>
        <v>51458.680392</v>
      </c>
      <c r="C14" s="148" t="n">
        <f aca="false">'Материальные затраты и ОЦДИ'!B7</f>
        <v>800</v>
      </c>
      <c r="D14" s="151" t="n">
        <v>0</v>
      </c>
      <c r="E14" s="179" t="n">
        <f aca="false">'Оплата КУ'!N46</f>
        <v>3564.57439375</v>
      </c>
      <c r="F14" s="140" t="n">
        <f aca="false">'Содержание объектов недв.имущ.'!H132</f>
        <v>1331.65425</v>
      </c>
      <c r="G14" s="140" t="n">
        <f aca="false">'Содержание объектов,связь, тран'!I5</f>
        <v>29.2497971605458</v>
      </c>
      <c r="H14" s="140" t="n">
        <f aca="false">'Содержание объектов,связь, тран'!I13</f>
        <v>13.0337096147392</v>
      </c>
      <c r="I14" s="148" t="n">
        <f aca="false">'Содержание объектов,связь, тран'!I20</f>
        <v>240.684045206777</v>
      </c>
      <c r="J14" s="131" t="n">
        <v>26850.04</v>
      </c>
      <c r="K14" s="132" t="n">
        <v>666.67</v>
      </c>
      <c r="L14" s="181" t="n">
        <f aca="false">B14+C14+D14+E14+F14+G14+H14+I14+J14+K14</f>
        <v>84954.5865877321</v>
      </c>
    </row>
    <row r="15" customFormat="false" ht="27.5" hidden="false" customHeight="false" outlineLevel="0" collapsed="false">
      <c r="A15" s="154" t="s">
        <v>69</v>
      </c>
      <c r="B15" s="182" t="n">
        <f aca="false">'Заработная плата'!H15</f>
        <v>51458.680392</v>
      </c>
      <c r="C15" s="156" t="n">
        <f aca="false">'Материальные затраты и ОЦДИ'!B7</f>
        <v>800</v>
      </c>
      <c r="D15" s="157" t="n">
        <v>0</v>
      </c>
      <c r="E15" s="183" t="n">
        <f aca="false">'Оплата КУ'!N52</f>
        <v>3802.21268666667</v>
      </c>
      <c r="F15" s="156" t="n">
        <f aca="false">'Содержание объектов недв.имущ.'!H151</f>
        <v>1420.4312</v>
      </c>
      <c r="G15" s="156" t="n">
        <f aca="false">'Содержание объектов,связь, тран'!I5</f>
        <v>29.2497971605458</v>
      </c>
      <c r="H15" s="156" t="n">
        <f aca="false">'Содержание объектов,связь, тран'!I13</f>
        <v>13.0337096147392</v>
      </c>
      <c r="I15" s="156" t="n">
        <f aca="false">'Содержание объектов,связь, тран'!I20</f>
        <v>240.684045206777</v>
      </c>
      <c r="J15" s="184" t="n">
        <v>26850.04</v>
      </c>
      <c r="K15" s="185" t="n">
        <v>666.67</v>
      </c>
      <c r="L15" s="186" t="n">
        <f aca="false">B15+C15+D15+E15+F15+G15+H15+I15+J15+K15</f>
        <v>85281.0018306487</v>
      </c>
      <c r="O15" s="187"/>
    </row>
    <row r="16" customFormat="false" ht="15" hidden="false" customHeight="false" outlineLevel="0" collapsed="false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</row>
    <row r="17" customFormat="false" ht="15" hidden="false" customHeight="true" outlineLevel="0" collapsed="false">
      <c r="A17" s="19" t="s">
        <v>149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customFormat="false" ht="15" hidden="false" customHeight="false" outlineLevel="0" collapsed="false">
      <c r="A18" s="101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 t="n">
        <v>0.7</v>
      </c>
      <c r="M18" s="101"/>
      <c r="N18" s="101"/>
      <c r="O18" s="101"/>
      <c r="P18" s="0"/>
    </row>
    <row r="19" customFormat="false" ht="15" hidden="false" customHeight="false" outlineLevel="0" collapsed="false">
      <c r="A19" s="101" t="s">
        <v>150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 t="n">
        <v>0.92</v>
      </c>
      <c r="M19" s="101"/>
      <c r="N19" s="101"/>
      <c r="O19" s="101"/>
      <c r="P19" s="101"/>
    </row>
    <row r="21" customFormat="false" ht="15" hidden="false" customHeight="false" outlineLevel="0" collapsed="false"/>
  </sheetData>
  <mergeCells count="9">
    <mergeCell ref="A1:L1"/>
    <mergeCell ref="K2:L2"/>
    <mergeCell ref="D3:F3"/>
    <mergeCell ref="K3:L3"/>
    <mergeCell ref="A5:A6"/>
    <mergeCell ref="B5:D5"/>
    <mergeCell ref="E5:K5"/>
    <mergeCell ref="L5:L6"/>
    <mergeCell ref="A17:P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H36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13" activeCellId="0" sqref="A13"/>
    </sheetView>
  </sheetViews>
  <sheetFormatPr defaultRowHeight="15" zeroHeight="false" outlineLevelRow="0" outlineLevelCol="0"/>
  <cols>
    <col collapsed="false" customWidth="true" hidden="false" outlineLevel="0" max="1" min="1" style="0" width="46.42"/>
    <col collapsed="false" customWidth="true" hidden="false" outlineLevel="0" max="3" min="2" style="0" width="8.71"/>
    <col collapsed="false" customWidth="true" hidden="false" outlineLevel="0" max="4" min="4" style="0" width="9.29"/>
    <col collapsed="false" customWidth="true" hidden="false" outlineLevel="0" max="5" min="5" style="0" width="42.57"/>
    <col collapsed="false" customWidth="true" hidden="false" outlineLevel="0" max="6" min="6" style="0" width="13.29"/>
    <col collapsed="false" customWidth="true" hidden="false" outlineLevel="0" max="1025" min="7" style="0" width="8.71"/>
  </cols>
  <sheetData>
    <row r="1" customFormat="false" ht="18.75" hidden="false" customHeight="true" outlineLevel="0" collapsed="false">
      <c r="A1" s="14" t="s">
        <v>16</v>
      </c>
      <c r="B1" s="14"/>
      <c r="C1" s="14"/>
      <c r="D1" s="14"/>
      <c r="E1" s="14"/>
      <c r="F1" s="14"/>
      <c r="G1" s="15"/>
      <c r="H1" s="15"/>
    </row>
    <row r="2" customFormat="false" ht="18.75" hidden="false" customHeight="true" outlineLevel="0" collapsed="false">
      <c r="A2" s="14" t="s">
        <v>17</v>
      </c>
      <c r="B2" s="16"/>
      <c r="C2" s="16"/>
      <c r="D2" s="16"/>
      <c r="E2" s="16"/>
      <c r="F2" s="16"/>
      <c r="G2" s="15"/>
      <c r="H2" s="15"/>
    </row>
    <row r="3" customFormat="false" ht="35.25" hidden="false" customHeight="true" outlineLevel="0" collapsed="false">
      <c r="A3" s="17" t="s">
        <v>18</v>
      </c>
      <c r="B3" s="17"/>
      <c r="C3" s="17"/>
      <c r="D3" s="17"/>
      <c r="E3" s="17"/>
      <c r="F3" s="17"/>
      <c r="G3" s="15"/>
      <c r="H3" s="15"/>
    </row>
    <row r="4" customFormat="false" ht="39" hidden="false" customHeight="true" outlineLevel="0" collapsed="false">
      <c r="A4" s="17" t="s">
        <v>19</v>
      </c>
      <c r="B4" s="17"/>
      <c r="C4" s="17"/>
      <c r="D4" s="17"/>
      <c r="E4" s="17"/>
      <c r="F4" s="17"/>
      <c r="G4" s="15"/>
      <c r="H4" s="15"/>
    </row>
    <row r="5" customFormat="false" ht="34.5" hidden="false" customHeight="true" outlineLevel="0" collapsed="false">
      <c r="A5" s="17" t="s">
        <v>20</v>
      </c>
      <c r="B5" s="17"/>
      <c r="C5" s="17"/>
      <c r="D5" s="17"/>
      <c r="E5" s="17"/>
      <c r="F5" s="17"/>
      <c r="G5" s="15"/>
      <c r="H5" s="15"/>
    </row>
    <row r="6" customFormat="false" ht="32.25" hidden="false" customHeight="true" outlineLevel="0" collapsed="false">
      <c r="A6" s="17" t="s">
        <v>21</v>
      </c>
      <c r="B6" s="17"/>
      <c r="C6" s="17"/>
      <c r="D6" s="17"/>
      <c r="E6" s="17"/>
      <c r="F6" s="17"/>
      <c r="G6" s="15"/>
      <c r="H6" s="15"/>
    </row>
    <row r="7" customFormat="false" ht="32.25" hidden="false" customHeight="true" outlineLevel="0" collapsed="false">
      <c r="A7" s="17" t="s">
        <v>22</v>
      </c>
      <c r="B7" s="17"/>
      <c r="C7" s="17"/>
      <c r="D7" s="17"/>
      <c r="E7" s="17"/>
      <c r="F7" s="17"/>
      <c r="G7" s="15"/>
      <c r="H7" s="15"/>
    </row>
    <row r="8" customFormat="false" ht="32.25" hidden="false" customHeight="true" outlineLevel="0" collapsed="false">
      <c r="A8" s="18" t="s">
        <v>23</v>
      </c>
      <c r="B8" s="19"/>
      <c r="C8" s="19"/>
      <c r="D8" s="19"/>
      <c r="E8" s="19"/>
      <c r="F8" s="19"/>
      <c r="G8" s="15"/>
      <c r="H8" s="15"/>
    </row>
    <row r="9" customFormat="false" ht="32.25" hidden="false" customHeight="true" outlineLevel="0" collapsed="false">
      <c r="A9" s="20" t="s">
        <v>24</v>
      </c>
      <c r="B9" s="20"/>
      <c r="C9" s="20"/>
      <c r="D9" s="20"/>
      <c r="E9" s="20"/>
      <c r="F9" s="20"/>
      <c r="G9" s="15"/>
      <c r="H9" s="15"/>
    </row>
    <row r="10" customFormat="false" ht="32.25" hidden="false" customHeight="true" outlineLevel="0" collapsed="false">
      <c r="A10" s="20" t="s">
        <v>25</v>
      </c>
      <c r="B10" s="20"/>
      <c r="C10" s="20"/>
      <c r="D10" s="20"/>
      <c r="E10" s="20"/>
      <c r="F10" s="20"/>
      <c r="G10" s="15"/>
      <c r="H10" s="15"/>
    </row>
    <row r="11" customFormat="false" ht="32.25" hidden="false" customHeight="true" outlineLevel="0" collapsed="false">
      <c r="A11" s="17" t="s">
        <v>26</v>
      </c>
      <c r="B11" s="17"/>
      <c r="C11" s="17"/>
      <c r="D11" s="17"/>
      <c r="E11" s="17"/>
      <c r="F11" s="17"/>
      <c r="G11" s="15"/>
      <c r="H11" s="15"/>
    </row>
    <row r="12" customFormat="false" ht="21" hidden="false" customHeight="true" outlineLevel="0" collapsed="false">
      <c r="A12" s="14" t="s">
        <v>27</v>
      </c>
      <c r="B12" s="16"/>
      <c r="C12" s="16"/>
      <c r="D12" s="16"/>
      <c r="E12" s="16"/>
      <c r="F12" s="16"/>
      <c r="G12" s="15"/>
      <c r="H12" s="15"/>
    </row>
    <row r="13" customFormat="false" ht="18.75" hidden="false" customHeight="true" outlineLevel="0" collapsed="false">
      <c r="A13" s="14" t="s">
        <v>28</v>
      </c>
      <c r="B13" s="16"/>
      <c r="C13" s="16"/>
      <c r="D13" s="16"/>
      <c r="E13" s="16"/>
      <c r="F13" s="16"/>
      <c r="G13" s="15"/>
      <c r="H13" s="15"/>
    </row>
    <row r="14" customFormat="false" ht="18.75" hidden="false" customHeight="true" outlineLevel="0" collapsed="false">
      <c r="A14" s="16"/>
      <c r="B14" s="16"/>
      <c r="C14" s="16"/>
      <c r="D14" s="16"/>
      <c r="E14" s="16"/>
      <c r="F14" s="16"/>
      <c r="G14" s="15"/>
      <c r="H14" s="15"/>
    </row>
    <row r="15" customFormat="false" ht="70.5" hidden="false" customHeight="true" outlineLevel="0" collapsed="false">
      <c r="A15" s="21" t="s">
        <v>29</v>
      </c>
      <c r="B15" s="22" t="s">
        <v>30</v>
      </c>
      <c r="C15" s="22" t="s">
        <v>31</v>
      </c>
      <c r="D15" s="22" t="s">
        <v>32</v>
      </c>
      <c r="E15" s="22" t="s">
        <v>29</v>
      </c>
      <c r="F15" s="23" t="s">
        <v>30</v>
      </c>
      <c r="G15" s="24"/>
      <c r="H15" s="15"/>
    </row>
    <row r="16" customFormat="false" ht="30" hidden="false" customHeight="true" outlineLevel="0" collapsed="false">
      <c r="A16" s="25" t="s">
        <v>33</v>
      </c>
      <c r="B16" s="26" t="n">
        <v>18.61</v>
      </c>
      <c r="C16" s="26" t="n">
        <v>490384</v>
      </c>
      <c r="D16" s="26" t="n">
        <v>36</v>
      </c>
      <c r="E16" s="26" t="s">
        <v>34</v>
      </c>
      <c r="F16" s="27" t="n">
        <v>1</v>
      </c>
      <c r="G16" s="15"/>
    </row>
    <row r="17" customFormat="false" ht="30" hidden="false" customHeight="true" outlineLevel="0" collapsed="false">
      <c r="A17" s="25" t="s">
        <v>35</v>
      </c>
      <c r="B17" s="26" t="n">
        <v>0.3</v>
      </c>
      <c r="C17" s="26" t="n">
        <v>3651</v>
      </c>
      <c r="D17" s="26" t="n">
        <v>36</v>
      </c>
      <c r="E17" s="26" t="s">
        <v>36</v>
      </c>
      <c r="F17" s="27" t="n">
        <v>1</v>
      </c>
      <c r="G17" s="15"/>
    </row>
    <row r="18" customFormat="false" ht="30" hidden="false" customHeight="true" outlineLevel="0" collapsed="false">
      <c r="A18" s="25"/>
      <c r="B18" s="26"/>
      <c r="C18" s="26"/>
      <c r="D18" s="26"/>
      <c r="E18" s="26" t="s">
        <v>37</v>
      </c>
      <c r="F18" s="27" t="n">
        <v>1</v>
      </c>
    </row>
    <row r="19" customFormat="false" ht="30" hidden="false" customHeight="true" outlineLevel="0" collapsed="false">
      <c r="A19" s="25"/>
      <c r="B19" s="26"/>
      <c r="C19" s="26"/>
      <c r="D19" s="26"/>
      <c r="E19" s="26" t="s">
        <v>38</v>
      </c>
      <c r="F19" s="27" t="n">
        <v>1</v>
      </c>
    </row>
    <row r="20" customFormat="false" ht="30" hidden="false" customHeight="true" outlineLevel="0" collapsed="false">
      <c r="A20" s="25"/>
      <c r="B20" s="26"/>
      <c r="C20" s="26"/>
      <c r="D20" s="26"/>
      <c r="E20" s="26" t="s">
        <v>39</v>
      </c>
      <c r="F20" s="27" t="n">
        <v>2</v>
      </c>
    </row>
    <row r="21" customFormat="false" ht="30" hidden="false" customHeight="true" outlineLevel="0" collapsed="false">
      <c r="A21" s="28"/>
      <c r="B21" s="26"/>
      <c r="C21" s="26"/>
      <c r="D21" s="26"/>
      <c r="E21" s="26" t="s">
        <v>40</v>
      </c>
      <c r="F21" s="27" t="n">
        <v>2.5</v>
      </c>
    </row>
    <row r="22" customFormat="false" ht="30" hidden="false" customHeight="true" outlineLevel="0" collapsed="false">
      <c r="A22" s="25"/>
      <c r="B22" s="26"/>
      <c r="C22" s="26"/>
      <c r="D22" s="26"/>
      <c r="E22" s="26" t="s">
        <v>41</v>
      </c>
      <c r="F22" s="27" t="n">
        <v>2</v>
      </c>
    </row>
    <row r="23" customFormat="false" ht="30" hidden="false" customHeight="true" outlineLevel="0" collapsed="false">
      <c r="A23" s="25"/>
      <c r="B23" s="26"/>
      <c r="C23" s="26"/>
      <c r="D23" s="26"/>
      <c r="E23" s="29" t="s">
        <v>42</v>
      </c>
      <c r="F23" s="27" t="n">
        <v>1</v>
      </c>
    </row>
    <row r="24" customFormat="false" ht="30" hidden="false" customHeight="true" outlineLevel="0" collapsed="false">
      <c r="A24" s="25"/>
      <c r="B24" s="26"/>
      <c r="C24" s="26"/>
      <c r="D24" s="26"/>
      <c r="E24" s="26"/>
      <c r="F24" s="27"/>
    </row>
    <row r="25" customFormat="false" ht="30" hidden="false" customHeight="true" outlineLevel="0" collapsed="false">
      <c r="A25" s="25"/>
      <c r="B25" s="26"/>
      <c r="C25" s="26"/>
      <c r="D25" s="26"/>
      <c r="E25" s="26"/>
      <c r="F25" s="27"/>
    </row>
    <row r="26" customFormat="false" ht="30" hidden="false" customHeight="true" outlineLevel="0" collapsed="false">
      <c r="A26" s="25"/>
      <c r="B26" s="26"/>
      <c r="C26" s="26"/>
      <c r="D26" s="26"/>
      <c r="E26" s="29"/>
      <c r="F26" s="27"/>
    </row>
    <row r="27" customFormat="false" ht="30" hidden="false" customHeight="true" outlineLevel="0" collapsed="false">
      <c r="A27" s="25"/>
      <c r="B27" s="26"/>
      <c r="C27" s="26"/>
      <c r="D27" s="26"/>
      <c r="E27" s="29"/>
      <c r="F27" s="27"/>
    </row>
    <row r="28" customFormat="false" ht="30" hidden="false" customHeight="true" outlineLevel="0" collapsed="false">
      <c r="A28" s="25"/>
      <c r="B28" s="26"/>
      <c r="C28" s="26"/>
      <c r="D28" s="26"/>
      <c r="E28" s="29"/>
      <c r="F28" s="27"/>
    </row>
    <row r="29" customFormat="false" ht="30" hidden="false" customHeight="true" outlineLevel="0" collapsed="false">
      <c r="A29" s="25"/>
      <c r="B29" s="26"/>
      <c r="C29" s="26"/>
      <c r="D29" s="26"/>
      <c r="E29" s="29"/>
      <c r="F29" s="27"/>
    </row>
    <row r="30" customFormat="false" ht="30" hidden="false" customHeight="true" outlineLevel="0" collapsed="false">
      <c r="A30" s="25"/>
      <c r="B30" s="26"/>
      <c r="C30" s="26"/>
      <c r="D30" s="26"/>
      <c r="E30" s="29"/>
      <c r="F30" s="27"/>
    </row>
    <row r="31" customFormat="false" ht="30" hidden="false" customHeight="true" outlineLevel="0" collapsed="false">
      <c r="A31" s="25"/>
      <c r="B31" s="26"/>
      <c r="C31" s="26"/>
      <c r="D31" s="26"/>
      <c r="E31" s="29"/>
      <c r="F31" s="27"/>
    </row>
    <row r="32" customFormat="false" ht="30" hidden="false" customHeight="true" outlineLevel="0" collapsed="false">
      <c r="A32" s="25"/>
      <c r="B32" s="26"/>
      <c r="C32" s="26"/>
      <c r="D32" s="26"/>
      <c r="E32" s="29"/>
      <c r="F32" s="27"/>
    </row>
    <row r="33" customFormat="false" ht="30" hidden="false" customHeight="true" outlineLevel="0" collapsed="false">
      <c r="A33" s="25"/>
      <c r="B33" s="26"/>
      <c r="C33" s="26"/>
      <c r="D33" s="26"/>
      <c r="E33" s="29"/>
      <c r="F33" s="27"/>
    </row>
    <row r="34" customFormat="false" ht="30" hidden="false" customHeight="true" outlineLevel="0" collapsed="false">
      <c r="A34" s="25"/>
      <c r="B34" s="26"/>
      <c r="C34" s="26"/>
      <c r="D34" s="26"/>
      <c r="E34" s="29"/>
      <c r="F34" s="27"/>
    </row>
    <row r="35" customFormat="false" ht="30" hidden="false" customHeight="true" outlineLevel="0" collapsed="false">
      <c r="A35" s="30"/>
      <c r="B35" s="31" t="n">
        <f aca="false">SUM(B16:B34)</f>
        <v>18.91</v>
      </c>
      <c r="C35" s="31" t="n">
        <f aca="false">SUM(C16:C34)</f>
        <v>494035</v>
      </c>
      <c r="D35" s="31"/>
      <c r="E35" s="32"/>
      <c r="F35" s="33" t="n">
        <f aca="false">SUM(F16:F34)</f>
        <v>11.5</v>
      </c>
    </row>
    <row r="36" customFormat="false" ht="30" hidden="false" customHeight="true" outlineLevel="0" collapsed="false"/>
  </sheetData>
  <mergeCells count="9">
    <mergeCell ref="A1:F1"/>
    <mergeCell ref="A3:F3"/>
    <mergeCell ref="A4:F4"/>
    <mergeCell ref="A5:F5"/>
    <mergeCell ref="A6:F6"/>
    <mergeCell ref="A7:F7"/>
    <mergeCell ref="A9:F9"/>
    <mergeCell ref="A10:F10"/>
    <mergeCell ref="A11:F1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O54"/>
  <sheetViews>
    <sheetView showFormulas="false" showGridLines="true" showRowColHeaders="true" showZeros="true" rightToLeft="false" tabSelected="false" showOutlineSymbols="true" defaultGridColor="true" view="normal" topLeftCell="A30" colorId="64" zoomScale="100" zoomScaleNormal="100" zoomScalePageLayoutView="100" workbookViewId="0">
      <selection pane="topLeft" activeCell="M55" activeCellId="0" sqref="M55"/>
    </sheetView>
  </sheetViews>
  <sheetFormatPr defaultRowHeight="15" zeroHeight="false" outlineLevelRow="0" outlineLevelCol="0"/>
  <cols>
    <col collapsed="false" customWidth="true" hidden="false" outlineLevel="0" max="1" min="1" style="34" width="18.85"/>
    <col collapsed="false" customWidth="true" hidden="false" outlineLevel="0" max="3" min="2" style="34" width="11.14"/>
    <col collapsed="false" customWidth="true" hidden="false" outlineLevel="0" max="4" min="4" style="34" width="13.29"/>
    <col collapsed="false" customWidth="true" hidden="false" outlineLevel="0" max="5" min="5" style="34" width="12.71"/>
    <col collapsed="false" customWidth="true" hidden="true" outlineLevel="0" max="7" min="6" style="34" width="11.57"/>
    <col collapsed="false" customWidth="true" hidden="true" outlineLevel="0" max="8" min="8" style="34" width="10.71"/>
    <col collapsed="false" customWidth="true" hidden="true" outlineLevel="0" max="9" min="9" style="34" width="11.57"/>
    <col collapsed="false" customWidth="true" hidden="false" outlineLevel="0" max="10" min="10" style="34" width="13.57"/>
    <col collapsed="false" customWidth="true" hidden="false" outlineLevel="0" max="11" min="11" style="34" width="12.71"/>
    <col collapsed="false" customWidth="true" hidden="false" outlineLevel="0" max="12" min="12" style="34" width="12.29"/>
    <col collapsed="false" customWidth="true" hidden="false" outlineLevel="0" max="13" min="13" style="34" width="9.29"/>
    <col collapsed="false" customWidth="true" hidden="false" outlineLevel="0" max="14" min="14" style="34" width="9.59"/>
    <col collapsed="false" customWidth="true" hidden="false" outlineLevel="0" max="15" min="15" style="34" width="9.85"/>
    <col collapsed="false" customWidth="true" hidden="false" outlineLevel="0" max="1025" min="16" style="34" width="9.13"/>
  </cols>
  <sheetData>
    <row r="1" customFormat="false" ht="15.75" hidden="false" customHeight="true" outlineLevel="0" collapsed="false">
      <c r="A1" s="2" t="s">
        <v>43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Format="false" ht="48" hidden="false" customHeight="true" outlineLevel="0" collapsed="false">
      <c r="A2" s="35" t="s">
        <v>44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customFormat="false" ht="15.75" hidden="false" customHeight="false" outlineLevel="0" collapsed="false">
      <c r="A3" s="36"/>
      <c r="B3" s="37"/>
      <c r="C3" s="37"/>
      <c r="D3" s="37"/>
      <c r="E3" s="37"/>
      <c r="F3" s="37"/>
      <c r="G3" s="37"/>
      <c r="H3" s="37"/>
      <c r="I3" s="36"/>
      <c r="J3" s="36"/>
      <c r="K3" s="36"/>
      <c r="L3" s="36"/>
      <c r="M3" s="36"/>
      <c r="N3" s="36"/>
    </row>
    <row r="4" customFormat="false" ht="141.75" hidden="false" customHeight="false" outlineLevel="0" collapsed="false">
      <c r="A4" s="38" t="s">
        <v>45</v>
      </c>
      <c r="B4" s="38" t="s">
        <v>46</v>
      </c>
      <c r="C4" s="38" t="s">
        <v>47</v>
      </c>
      <c r="D4" s="38" t="s">
        <v>48</v>
      </c>
      <c r="E4" s="38" t="s">
        <v>49</v>
      </c>
      <c r="F4" s="38" t="s">
        <v>50</v>
      </c>
      <c r="G4" s="38" t="s">
        <v>51</v>
      </c>
      <c r="H4" s="38" t="s">
        <v>52</v>
      </c>
      <c r="I4" s="36"/>
      <c r="J4" s="38" t="s">
        <v>53</v>
      </c>
      <c r="K4" s="38" t="s">
        <v>54</v>
      </c>
      <c r="L4" s="38" t="s">
        <v>50</v>
      </c>
      <c r="M4" s="38" t="s">
        <v>51</v>
      </c>
      <c r="N4" s="38" t="s">
        <v>52</v>
      </c>
    </row>
    <row r="5" customFormat="false" ht="29.25" hidden="false" customHeight="true" outlineLevel="0" collapsed="false">
      <c r="A5" s="39" t="s">
        <v>55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customFormat="false" ht="15.75" hidden="false" customHeight="false" outlineLevel="0" collapsed="false">
      <c r="A6" s="40" t="s">
        <v>56</v>
      </c>
      <c r="B6" s="40" t="s">
        <v>57</v>
      </c>
      <c r="C6" s="40" t="n">
        <v>24000</v>
      </c>
      <c r="D6" s="40" t="n">
        <v>0.27</v>
      </c>
      <c r="E6" s="40" t="n">
        <f aca="false">SUM(C6*D6)</f>
        <v>6480</v>
      </c>
      <c r="F6" s="40" t="n">
        <f aca="false">SUM(E6/315)</f>
        <v>20.5714285714286</v>
      </c>
      <c r="G6" s="40" t="n">
        <v>9.21</v>
      </c>
      <c r="H6" s="41" t="n">
        <f aca="false">SUM(F6*G6)</f>
        <v>189.462857142857</v>
      </c>
      <c r="I6" s="42"/>
      <c r="J6" s="41" t="n">
        <v>30183.97</v>
      </c>
      <c r="K6" s="41" t="n">
        <f aca="false">SUM(J6/40)</f>
        <v>754.59925</v>
      </c>
      <c r="L6" s="41" t="n">
        <f aca="false">SUM(E6/J6*K6)</f>
        <v>162</v>
      </c>
      <c r="M6" s="40" t="n">
        <v>5.63</v>
      </c>
      <c r="N6" s="41" t="n">
        <f aca="false">SUM(L6*M6)</f>
        <v>912.06</v>
      </c>
    </row>
    <row r="7" customFormat="false" ht="15.75" hidden="false" customHeight="false" outlineLevel="0" collapsed="false">
      <c r="A7" s="9" t="s">
        <v>58</v>
      </c>
      <c r="B7" s="9" t="s">
        <v>59</v>
      </c>
      <c r="C7" s="9" t="n">
        <v>128.62</v>
      </c>
      <c r="D7" s="40" t="n">
        <v>0.27</v>
      </c>
      <c r="E7" s="12" t="n">
        <f aca="false">SUM(C7*D7)</f>
        <v>34.7274</v>
      </c>
      <c r="F7" s="9" t="n">
        <f aca="false">SUM(E7/315)</f>
        <v>0.110245714285714</v>
      </c>
      <c r="G7" s="9" t="n">
        <v>4379.98</v>
      </c>
      <c r="H7" s="12" t="n">
        <f aca="false">SUM(F7*G7)</f>
        <v>482.874023657143</v>
      </c>
      <c r="I7" s="42"/>
      <c r="J7" s="41" t="n">
        <v>30183.97</v>
      </c>
      <c r="K7" s="41" t="n">
        <f aca="false">SUM(J7/40)</f>
        <v>754.59925</v>
      </c>
      <c r="L7" s="12" t="n">
        <f aca="false">SUM(E7/J7*K7)</f>
        <v>0.868185</v>
      </c>
      <c r="M7" s="9" t="n">
        <v>3200.65</v>
      </c>
      <c r="N7" s="12" t="n">
        <f aca="false">SUM(L7*M7)</f>
        <v>2778.75632025</v>
      </c>
    </row>
    <row r="8" customFormat="false" ht="31.5" hidden="false" customHeight="false" outlineLevel="0" collapsed="false">
      <c r="A8" s="4" t="s">
        <v>60</v>
      </c>
      <c r="B8" s="9" t="s">
        <v>61</v>
      </c>
      <c r="C8" s="9" t="n">
        <v>390</v>
      </c>
      <c r="D8" s="40" t="n">
        <v>0.27</v>
      </c>
      <c r="E8" s="9" t="n">
        <f aca="false">SUM(C8*D8)</f>
        <v>105.3</v>
      </c>
      <c r="F8" s="9" t="n">
        <f aca="false">SUM(E8/315)</f>
        <v>0.334285714285714</v>
      </c>
      <c r="G8" s="9" t="n">
        <v>25.89</v>
      </c>
      <c r="H8" s="12" t="n">
        <f aca="false">SUM(F8*G8)</f>
        <v>8.65465714285714</v>
      </c>
      <c r="I8" s="42"/>
      <c r="J8" s="41" t="n">
        <v>30183.97</v>
      </c>
      <c r="K8" s="41" t="n">
        <f aca="false">SUM(J8/40)</f>
        <v>754.59925</v>
      </c>
      <c r="L8" s="12" t="n">
        <f aca="false">SUM(E8/J8*K8)</f>
        <v>2.6325</v>
      </c>
      <c r="M8" s="9" t="n">
        <v>31.72</v>
      </c>
      <c r="N8" s="12" t="n">
        <f aca="false">SUM(L8*M8)</f>
        <v>83.5029</v>
      </c>
    </row>
    <row r="9" customFormat="false" ht="15.75" hidden="false" customHeight="false" outlineLevel="0" collapsed="false">
      <c r="A9" s="9" t="s">
        <v>62</v>
      </c>
      <c r="B9" s="9" t="s">
        <v>61</v>
      </c>
      <c r="C9" s="9" t="n">
        <v>390</v>
      </c>
      <c r="D9" s="40" t="n">
        <v>0.27</v>
      </c>
      <c r="E9" s="9" t="n">
        <f aca="false">SUM(C9*D9)</f>
        <v>105.3</v>
      </c>
      <c r="F9" s="9" t="n">
        <f aca="false">SUM(E9/315)</f>
        <v>0.334285714285714</v>
      </c>
      <c r="G9" s="9" t="n">
        <v>710</v>
      </c>
      <c r="H9" s="12" t="n">
        <f aca="false">SUM(F9*G9)</f>
        <v>237.342857142857</v>
      </c>
      <c r="I9" s="42"/>
      <c r="J9" s="41" t="n">
        <v>30183.97</v>
      </c>
      <c r="K9" s="41" t="n">
        <f aca="false">SUM(J9/40)</f>
        <v>754.59925</v>
      </c>
      <c r="L9" s="12" t="n">
        <f aca="false">SUM(E9/J9*K9)</f>
        <v>2.6325</v>
      </c>
      <c r="M9" s="9" t="n">
        <v>28.65</v>
      </c>
      <c r="N9" s="12" t="n">
        <f aca="false">SUM(L9*M9)</f>
        <v>75.421125</v>
      </c>
    </row>
    <row r="10" s="46" customFormat="true" ht="15.75" hidden="false" customHeight="false" outlineLevel="0" collapsed="false">
      <c r="A10" s="43"/>
      <c r="B10" s="43"/>
      <c r="C10" s="43"/>
      <c r="D10" s="43"/>
      <c r="E10" s="43"/>
      <c r="F10" s="43"/>
      <c r="G10" s="43"/>
      <c r="H10" s="44" t="n">
        <f aca="false">SUM(H6:H9)</f>
        <v>918.334395085714</v>
      </c>
      <c r="I10" s="45" t="n">
        <f aca="false">SUM(H10*315)</f>
        <v>289275.334452</v>
      </c>
      <c r="J10" s="43"/>
      <c r="K10" s="43"/>
      <c r="L10" s="43"/>
      <c r="M10" s="43"/>
      <c r="N10" s="44" t="n">
        <f aca="false">SUM(N6:N9)</f>
        <v>3849.74034525</v>
      </c>
      <c r="O10" s="46" t="n">
        <f aca="false">SUM(N10*315)</f>
        <v>1212668.20875375</v>
      </c>
    </row>
    <row r="11" customFormat="false" ht="45.75" hidden="false" customHeight="true" outlineLevel="0" collapsed="false">
      <c r="A11" s="47" t="s">
        <v>63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customFormat="false" ht="15.75" hidden="false" customHeight="false" outlineLevel="0" collapsed="false">
      <c r="A12" s="9" t="s">
        <v>56</v>
      </c>
      <c r="B12" s="9" t="s">
        <v>57</v>
      </c>
      <c r="C12" s="9" t="n">
        <v>24000</v>
      </c>
      <c r="D12" s="9" t="n">
        <v>0.2</v>
      </c>
      <c r="E12" s="9" t="n">
        <f aca="false">SUM(C12*D12)</f>
        <v>4800</v>
      </c>
      <c r="F12" s="9" t="n">
        <f aca="false">SUM(E12/26)</f>
        <v>184.615384615385</v>
      </c>
      <c r="G12" s="9" t="n">
        <v>9.21</v>
      </c>
      <c r="H12" s="12" t="n">
        <f aca="false">SUM(F12*G12)</f>
        <v>1700.30769230769</v>
      </c>
      <c r="I12" s="48"/>
      <c r="J12" s="12" t="n">
        <v>30183.97</v>
      </c>
      <c r="K12" s="12" t="n">
        <f aca="false">SUM(J12/30)</f>
        <v>1006.13233333333</v>
      </c>
      <c r="L12" s="12" t="n">
        <f aca="false">SUM(E12/J12*K12)</f>
        <v>160</v>
      </c>
      <c r="M12" s="9" t="n">
        <v>5.63</v>
      </c>
      <c r="N12" s="9" t="n">
        <f aca="false">SUM(L12*M12)</f>
        <v>900.8</v>
      </c>
    </row>
    <row r="13" customFormat="false" ht="15.75" hidden="false" customHeight="false" outlineLevel="0" collapsed="false">
      <c r="A13" s="9" t="s">
        <v>58</v>
      </c>
      <c r="B13" s="9" t="s">
        <v>59</v>
      </c>
      <c r="C13" s="9" t="n">
        <v>128.62</v>
      </c>
      <c r="D13" s="9" t="n">
        <v>0.2</v>
      </c>
      <c r="E13" s="12" t="n">
        <f aca="false">SUM(C13*D13)</f>
        <v>25.724</v>
      </c>
      <c r="F13" s="9" t="n">
        <f aca="false">SUM(E13/26)</f>
        <v>0.989384615384616</v>
      </c>
      <c r="G13" s="9" t="n">
        <v>4379.98</v>
      </c>
      <c r="H13" s="12" t="n">
        <f aca="false">SUM(F13*G13)</f>
        <v>4333.48482769231</v>
      </c>
      <c r="I13" s="48"/>
      <c r="J13" s="41" t="n">
        <v>30183.97</v>
      </c>
      <c r="K13" s="12" t="n">
        <f aca="false">SUM(J13/30)</f>
        <v>1006.13233333333</v>
      </c>
      <c r="L13" s="12" t="n">
        <f aca="false">SUM(E13/J13*K13)</f>
        <v>0.857466666666667</v>
      </c>
      <c r="M13" s="9" t="n">
        <v>3200.65</v>
      </c>
      <c r="N13" s="9" t="n">
        <f aca="false">SUM(L13*M13)</f>
        <v>2744.45068666667</v>
      </c>
    </row>
    <row r="14" customFormat="false" ht="31.5" hidden="false" customHeight="false" outlineLevel="0" collapsed="false">
      <c r="A14" s="4" t="s">
        <v>60</v>
      </c>
      <c r="B14" s="9" t="s">
        <v>61</v>
      </c>
      <c r="C14" s="9" t="n">
        <v>390</v>
      </c>
      <c r="D14" s="9" t="n">
        <v>0.2</v>
      </c>
      <c r="E14" s="9" t="n">
        <f aca="false">SUM(C14*D14)</f>
        <v>78</v>
      </c>
      <c r="F14" s="9" t="n">
        <f aca="false">SUM(E14/26)</f>
        <v>3</v>
      </c>
      <c r="G14" s="9" t="n">
        <v>25.89</v>
      </c>
      <c r="H14" s="12" t="n">
        <f aca="false">SUM(F14*G14)</f>
        <v>77.67</v>
      </c>
      <c r="I14" s="48"/>
      <c r="J14" s="41" t="n">
        <v>30183.97</v>
      </c>
      <c r="K14" s="12" t="n">
        <f aca="false">SUM(J14/30)</f>
        <v>1006.13233333333</v>
      </c>
      <c r="L14" s="12" t="n">
        <f aca="false">SUM(E14/J14*K14)</f>
        <v>2.6</v>
      </c>
      <c r="M14" s="9" t="n">
        <v>31.72</v>
      </c>
      <c r="N14" s="9" t="n">
        <f aca="false">SUM(L14*M14)</f>
        <v>82.472</v>
      </c>
    </row>
    <row r="15" customFormat="false" ht="15.75" hidden="false" customHeight="false" outlineLevel="0" collapsed="false">
      <c r="A15" s="9" t="s">
        <v>62</v>
      </c>
      <c r="B15" s="9" t="s">
        <v>61</v>
      </c>
      <c r="C15" s="9" t="n">
        <v>50</v>
      </c>
      <c r="D15" s="9" t="n">
        <v>0.2</v>
      </c>
      <c r="E15" s="9" t="n">
        <f aca="false">SUM(C15*D15)</f>
        <v>10</v>
      </c>
      <c r="F15" s="9" t="n">
        <f aca="false">SUM(E15/26)</f>
        <v>0.384615384615385</v>
      </c>
      <c r="G15" s="9" t="n">
        <v>710</v>
      </c>
      <c r="H15" s="12" t="n">
        <f aca="false">SUM(F15*G15)</f>
        <v>273.076923076923</v>
      </c>
      <c r="I15" s="48"/>
      <c r="J15" s="41" t="n">
        <v>30183.97</v>
      </c>
      <c r="K15" s="12" t="n">
        <f aca="false">SUM(J15/30)</f>
        <v>1006.13233333333</v>
      </c>
      <c r="L15" s="12" t="n">
        <f aca="false">SUM(E15/J15*K15)</f>
        <v>0.333333333333333</v>
      </c>
      <c r="M15" s="9" t="n">
        <v>28.65</v>
      </c>
      <c r="N15" s="9" t="n">
        <f aca="false">SUM(L15*M15)</f>
        <v>9.55</v>
      </c>
    </row>
    <row r="16" s="46" customFormat="true" ht="15.75" hidden="false" customHeight="false" outlineLevel="0" collapsed="false">
      <c r="A16" s="43"/>
      <c r="B16" s="43"/>
      <c r="C16" s="43"/>
      <c r="D16" s="43"/>
      <c r="E16" s="43"/>
      <c r="F16" s="43"/>
      <c r="G16" s="43"/>
      <c r="H16" s="44" t="n">
        <f aca="false">SUM(H12:H15)</f>
        <v>6384.53944307692</v>
      </c>
      <c r="I16" s="49" t="n">
        <f aca="false">SUM(H16)*26</f>
        <v>165998.02552</v>
      </c>
      <c r="J16" s="43"/>
      <c r="K16" s="43"/>
      <c r="L16" s="43"/>
      <c r="M16" s="43"/>
      <c r="N16" s="43" t="n">
        <f aca="false">SUM(N12:N15)</f>
        <v>3737.27268666667</v>
      </c>
      <c r="O16" s="46" t="n">
        <f aca="false">SUM(N16*26)</f>
        <v>97169.0898533333</v>
      </c>
    </row>
    <row r="17" customFormat="false" ht="30.75" hidden="false" customHeight="true" outlineLevel="0" collapsed="false">
      <c r="A17" s="47" t="s">
        <v>64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customFormat="false" ht="15.75" hidden="false" customHeight="false" outlineLevel="0" collapsed="false">
      <c r="A18" s="9" t="s">
        <v>56</v>
      </c>
      <c r="B18" s="9" t="s">
        <v>57</v>
      </c>
      <c r="C18" s="9" t="n">
        <v>24000</v>
      </c>
      <c r="D18" s="9" t="n">
        <v>0.03</v>
      </c>
      <c r="E18" s="9" t="n">
        <f aca="false">SUM(C18*D18)</f>
        <v>720</v>
      </c>
      <c r="F18" s="9" t="n">
        <f aca="false">SUM(E18/42)</f>
        <v>17.1428571428571</v>
      </c>
      <c r="G18" s="9" t="n">
        <v>9.21</v>
      </c>
      <c r="H18" s="12" t="n">
        <f aca="false">SUM(G18*F18)</f>
        <v>157.885714285714</v>
      </c>
      <c r="I18" s="36"/>
      <c r="J18" s="12" t="n">
        <v>30183.97</v>
      </c>
      <c r="K18" s="12" t="n">
        <f aca="false">SUM(J18/4)</f>
        <v>7545.9925</v>
      </c>
      <c r="L18" s="12" t="n">
        <f aca="false">SUM(E18/J18*K18)</f>
        <v>180</v>
      </c>
      <c r="M18" s="9" t="n">
        <v>5.63</v>
      </c>
      <c r="N18" s="12" t="n">
        <f aca="false">SUM(L18*M18)</f>
        <v>1013.4</v>
      </c>
    </row>
    <row r="19" customFormat="false" ht="15.75" hidden="false" customHeight="false" outlineLevel="0" collapsed="false">
      <c r="A19" s="9" t="s">
        <v>58</v>
      </c>
      <c r="B19" s="9" t="s">
        <v>59</v>
      </c>
      <c r="C19" s="9" t="n">
        <v>128.62</v>
      </c>
      <c r="D19" s="9" t="n">
        <v>0.03</v>
      </c>
      <c r="E19" s="12" t="n">
        <f aca="false">SUM(C19*D19)</f>
        <v>3.8586</v>
      </c>
      <c r="F19" s="9" t="n">
        <f aca="false">SUM(E19/42)</f>
        <v>0.0918714285714286</v>
      </c>
      <c r="G19" s="9" t="n">
        <v>4379.98</v>
      </c>
      <c r="H19" s="12" t="n">
        <f aca="false">SUM(G19*F19)</f>
        <v>402.395019714286</v>
      </c>
      <c r="I19" s="36"/>
      <c r="J19" s="41" t="n">
        <v>30183.97</v>
      </c>
      <c r="K19" s="12" t="n">
        <f aca="false">SUM(J19/4)</f>
        <v>7545.9925</v>
      </c>
      <c r="L19" s="12" t="n">
        <f aca="false">SUM(E19/J19*K19)</f>
        <v>0.96465</v>
      </c>
      <c r="M19" s="9" t="n">
        <v>3200.65</v>
      </c>
      <c r="N19" s="12" t="n">
        <f aca="false">SUM(L19*M19)</f>
        <v>3087.5070225</v>
      </c>
    </row>
    <row r="20" customFormat="false" ht="31.5" hidden="false" customHeight="false" outlineLevel="0" collapsed="false">
      <c r="A20" s="4" t="s">
        <v>60</v>
      </c>
      <c r="B20" s="9" t="s">
        <v>61</v>
      </c>
      <c r="C20" s="9" t="n">
        <v>390</v>
      </c>
      <c r="D20" s="9" t="n">
        <v>0.03</v>
      </c>
      <c r="E20" s="9" t="n">
        <f aca="false">SUM(C20*D20)</f>
        <v>11.7</v>
      </c>
      <c r="F20" s="9" t="n">
        <f aca="false">SUM(E20/42)</f>
        <v>0.278571428571429</v>
      </c>
      <c r="G20" s="9" t="n">
        <v>25.89</v>
      </c>
      <c r="H20" s="12" t="n">
        <f aca="false">SUM(G20*F20)</f>
        <v>7.21221428571429</v>
      </c>
      <c r="I20" s="36"/>
      <c r="J20" s="41" t="n">
        <v>30183.97</v>
      </c>
      <c r="K20" s="12" t="n">
        <f aca="false">SUM(J20/4)</f>
        <v>7545.9925</v>
      </c>
      <c r="L20" s="12" t="n">
        <f aca="false">SUM(E20/J20*K20)</f>
        <v>2.925</v>
      </c>
      <c r="M20" s="9" t="n">
        <v>31.72</v>
      </c>
      <c r="N20" s="12" t="n">
        <f aca="false">SUM(L20*M20)</f>
        <v>92.781</v>
      </c>
    </row>
    <row r="21" customFormat="false" ht="15.75" hidden="false" customHeight="false" outlineLevel="0" collapsed="false">
      <c r="A21" s="9" t="s">
        <v>62</v>
      </c>
      <c r="B21" s="9" t="s">
        <v>61</v>
      </c>
      <c r="C21" s="9" t="n">
        <v>390</v>
      </c>
      <c r="D21" s="9" t="n">
        <v>0.03</v>
      </c>
      <c r="E21" s="9" t="n">
        <f aca="false">SUM(C21*D21)</f>
        <v>11.7</v>
      </c>
      <c r="F21" s="9" t="n">
        <f aca="false">SUM(E21/42)</f>
        <v>0.278571428571429</v>
      </c>
      <c r="G21" s="9" t="n">
        <v>710</v>
      </c>
      <c r="H21" s="12" t="n">
        <f aca="false">SUM(G21*F21)</f>
        <v>197.785714285714</v>
      </c>
      <c r="I21" s="36"/>
      <c r="J21" s="41" t="n">
        <v>30183.97</v>
      </c>
      <c r="K21" s="12" t="n">
        <f aca="false">SUM(J21/4)</f>
        <v>7545.9925</v>
      </c>
      <c r="L21" s="12" t="n">
        <f aca="false">SUM(E21/J21*K21)</f>
        <v>2.925</v>
      </c>
      <c r="M21" s="9" t="n">
        <v>28.65</v>
      </c>
      <c r="N21" s="12" t="n">
        <f aca="false">SUM(L21*M21)</f>
        <v>83.80125</v>
      </c>
    </row>
    <row r="22" s="46" customFormat="true" ht="15.75" hidden="false" customHeight="false" outlineLevel="0" collapsed="false">
      <c r="A22" s="43"/>
      <c r="B22" s="43"/>
      <c r="C22" s="43"/>
      <c r="D22" s="43"/>
      <c r="E22" s="43"/>
      <c r="F22" s="43"/>
      <c r="G22" s="43"/>
      <c r="H22" s="44" t="n">
        <f aca="false">SUM(H18:H21)</f>
        <v>765.278662571429</v>
      </c>
      <c r="I22" s="45" t="n">
        <f aca="false">SUM(H22*42)</f>
        <v>32141.703828</v>
      </c>
      <c r="J22" s="43"/>
      <c r="K22" s="43"/>
      <c r="L22" s="43"/>
      <c r="M22" s="43"/>
      <c r="N22" s="44" t="n">
        <f aca="false">SUM(N18:N21)</f>
        <v>4277.4892725</v>
      </c>
      <c r="O22" s="46" t="n">
        <f aca="false">SUM(N22*42)</f>
        <v>179654.549445</v>
      </c>
    </row>
    <row r="23" customFormat="false" ht="30.75" hidden="false" customHeight="true" outlineLevel="0" collapsed="false">
      <c r="A23" s="50" t="s">
        <v>65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</row>
    <row r="24" customFormat="false" ht="15.75" hidden="false" customHeight="false" outlineLevel="0" collapsed="false">
      <c r="A24" s="9" t="s">
        <v>56</v>
      </c>
      <c r="B24" s="9" t="s">
        <v>57</v>
      </c>
      <c r="C24" s="9" t="n">
        <v>24000</v>
      </c>
      <c r="D24" s="9" t="n">
        <v>0.18</v>
      </c>
      <c r="E24" s="9" t="n">
        <f aca="false">SUM(C24*D24)</f>
        <v>4320</v>
      </c>
      <c r="F24" s="9" t="n">
        <f aca="false">SUM(E24/34)</f>
        <v>127.058823529412</v>
      </c>
      <c r="G24" s="9" t="n">
        <v>9.21</v>
      </c>
      <c r="H24" s="12" t="n">
        <f aca="false">SUM(G24*F24)</f>
        <v>1170.21176470588</v>
      </c>
      <c r="I24" s="36"/>
      <c r="J24" s="12" t="n">
        <v>30183.97</v>
      </c>
      <c r="K24" s="12" t="n">
        <f aca="false">SUM(J24/27)</f>
        <v>1117.92481481481</v>
      </c>
      <c r="L24" s="12" t="n">
        <f aca="false">SUM(E24/J24*K24)</f>
        <v>160</v>
      </c>
      <c r="M24" s="9" t="n">
        <v>5.63</v>
      </c>
      <c r="N24" s="12" t="n">
        <f aca="false">SUM(L24*M24)</f>
        <v>900.8</v>
      </c>
    </row>
    <row r="25" customFormat="false" ht="15.75" hidden="false" customHeight="false" outlineLevel="0" collapsed="false">
      <c r="A25" s="9" t="s">
        <v>58</v>
      </c>
      <c r="B25" s="9" t="s">
        <v>59</v>
      </c>
      <c r="C25" s="9" t="n">
        <v>128.62</v>
      </c>
      <c r="D25" s="9" t="n">
        <v>0.18</v>
      </c>
      <c r="E25" s="12" t="n">
        <f aca="false">SUM(C25*D25)</f>
        <v>23.1516</v>
      </c>
      <c r="F25" s="9" t="n">
        <f aca="false">SUM(E25/34)</f>
        <v>0.680929411764706</v>
      </c>
      <c r="G25" s="9" t="n">
        <v>4379.98</v>
      </c>
      <c r="H25" s="12" t="n">
        <f aca="false">SUM(G25*F25)</f>
        <v>2982.45720494118</v>
      </c>
      <c r="I25" s="36"/>
      <c r="J25" s="41" t="n">
        <v>30183.97</v>
      </c>
      <c r="K25" s="12" t="n">
        <f aca="false">SUM(J25/27)</f>
        <v>1117.92481481481</v>
      </c>
      <c r="L25" s="12" t="n">
        <f aca="false">SUM(E25/J25*K25)</f>
        <v>0.857466666666667</v>
      </c>
      <c r="M25" s="9" t="n">
        <v>3200.65</v>
      </c>
      <c r="N25" s="12" t="n">
        <f aca="false">SUM(L25*M25)</f>
        <v>2744.45068666667</v>
      </c>
    </row>
    <row r="26" customFormat="false" ht="31.5" hidden="false" customHeight="false" outlineLevel="0" collapsed="false">
      <c r="A26" s="4" t="s">
        <v>60</v>
      </c>
      <c r="B26" s="9" t="s">
        <v>61</v>
      </c>
      <c r="C26" s="9" t="n">
        <v>390</v>
      </c>
      <c r="D26" s="9" t="n">
        <v>0.18</v>
      </c>
      <c r="E26" s="9" t="n">
        <f aca="false">SUM(C26*D26)</f>
        <v>70.2</v>
      </c>
      <c r="F26" s="9" t="n">
        <f aca="false">SUM(E26/34)</f>
        <v>2.06470588235294</v>
      </c>
      <c r="G26" s="9" t="n">
        <v>25.89</v>
      </c>
      <c r="H26" s="12" t="n">
        <f aca="false">SUM(G26*F26)</f>
        <v>53.4552352941177</v>
      </c>
      <c r="I26" s="36"/>
      <c r="J26" s="41" t="n">
        <v>30183.97</v>
      </c>
      <c r="K26" s="12" t="n">
        <f aca="false">SUM(J26/27)</f>
        <v>1117.92481481481</v>
      </c>
      <c r="L26" s="12" t="n">
        <f aca="false">SUM(E26/J26*K26)</f>
        <v>2.6</v>
      </c>
      <c r="M26" s="9" t="n">
        <v>31.72</v>
      </c>
      <c r="N26" s="12" t="n">
        <f aca="false">SUM(L26*M26)</f>
        <v>82.472</v>
      </c>
    </row>
    <row r="27" customFormat="false" ht="15.75" hidden="false" customHeight="false" outlineLevel="0" collapsed="false">
      <c r="A27" s="9" t="s">
        <v>62</v>
      </c>
      <c r="B27" s="9" t="s">
        <v>61</v>
      </c>
      <c r="C27" s="9" t="n">
        <v>390</v>
      </c>
      <c r="D27" s="9" t="n">
        <v>0.18</v>
      </c>
      <c r="E27" s="9" t="n">
        <f aca="false">SUM(C27*D27)</f>
        <v>70.2</v>
      </c>
      <c r="F27" s="9" t="n">
        <f aca="false">SUM(E27/34)</f>
        <v>2.06470588235294</v>
      </c>
      <c r="G27" s="9" t="n">
        <v>710</v>
      </c>
      <c r="H27" s="12" t="n">
        <f aca="false">SUM(G27*F27)</f>
        <v>1465.94117647059</v>
      </c>
      <c r="I27" s="36"/>
      <c r="J27" s="41" t="n">
        <v>30183.97</v>
      </c>
      <c r="K27" s="12" t="n">
        <f aca="false">SUM(J27/27)</f>
        <v>1117.92481481481</v>
      </c>
      <c r="L27" s="12" t="n">
        <f aca="false">SUM(E27/J27*K27)</f>
        <v>2.6</v>
      </c>
      <c r="M27" s="9" t="n">
        <v>28.65</v>
      </c>
      <c r="N27" s="12" t="n">
        <f aca="false">SUM(L27*M27)</f>
        <v>74.49</v>
      </c>
    </row>
    <row r="28" s="46" customFormat="true" ht="15.75" hidden="false" customHeight="false" outlineLevel="0" collapsed="false">
      <c r="A28" s="43"/>
      <c r="B28" s="43"/>
      <c r="C28" s="43"/>
      <c r="D28" s="43"/>
      <c r="E28" s="43"/>
      <c r="F28" s="43"/>
      <c r="G28" s="43"/>
      <c r="H28" s="44" t="n">
        <f aca="false">SUM(H24:H27)</f>
        <v>5672.06538141176</v>
      </c>
      <c r="I28" s="45" t="n">
        <f aca="false">SUM(H28*34)</f>
        <v>192850.222968</v>
      </c>
      <c r="J28" s="43"/>
      <c r="K28" s="43"/>
      <c r="L28" s="43"/>
      <c r="M28" s="43"/>
      <c r="N28" s="44" t="n">
        <f aca="false">SUM(N24:N27)</f>
        <v>3802.21268666667</v>
      </c>
      <c r="O28" s="46" t="n">
        <f aca="false">SUM(N28*34)</f>
        <v>129275.231346667</v>
      </c>
    </row>
    <row r="29" customFormat="false" ht="33" hidden="false" customHeight="true" outlineLevel="0" collapsed="false">
      <c r="A29" s="50" t="s">
        <v>66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</row>
    <row r="30" customFormat="false" ht="15.75" hidden="false" customHeight="false" outlineLevel="0" collapsed="false">
      <c r="A30" s="9" t="s">
        <v>56</v>
      </c>
      <c r="B30" s="9" t="s">
        <v>57</v>
      </c>
      <c r="C30" s="9" t="n">
        <v>24000</v>
      </c>
      <c r="D30" s="9" t="n">
        <v>0.03</v>
      </c>
      <c r="E30" s="9" t="n">
        <f aca="false">SUM(C30*D30)</f>
        <v>720</v>
      </c>
      <c r="F30" s="9" t="n">
        <f aca="false">SUM(E30/21)</f>
        <v>34.2857142857143</v>
      </c>
      <c r="G30" s="9" t="n">
        <v>9.21</v>
      </c>
      <c r="H30" s="12" t="n">
        <f aca="false">SUM(G30*F30)</f>
        <v>315.771428571429</v>
      </c>
      <c r="I30" s="36"/>
      <c r="J30" s="12" t="n">
        <v>30183.97</v>
      </c>
      <c r="K30" s="12" t="n">
        <f aca="false">SUM(J30/5)</f>
        <v>6036.794</v>
      </c>
      <c r="L30" s="12" t="n">
        <f aca="false">SUM(E30/J30*K30)</f>
        <v>144</v>
      </c>
      <c r="M30" s="9" t="n">
        <v>5.63</v>
      </c>
      <c r="N30" s="12" t="n">
        <f aca="false">SUM(L30*M30)</f>
        <v>810.72</v>
      </c>
    </row>
    <row r="31" customFormat="false" ht="15.75" hidden="false" customHeight="false" outlineLevel="0" collapsed="false">
      <c r="A31" s="9" t="s">
        <v>58</v>
      </c>
      <c r="B31" s="9" t="s">
        <v>59</v>
      </c>
      <c r="C31" s="9" t="n">
        <v>128.62</v>
      </c>
      <c r="D31" s="9" t="n">
        <v>0.03</v>
      </c>
      <c r="E31" s="12" t="n">
        <f aca="false">SUM(C31*D31)</f>
        <v>3.8586</v>
      </c>
      <c r="F31" s="9" t="n">
        <f aca="false">SUM(E31/21)</f>
        <v>0.183742857142857</v>
      </c>
      <c r="G31" s="9" t="n">
        <v>4379.98</v>
      </c>
      <c r="H31" s="12" t="n">
        <f aca="false">SUM(G31*F31)</f>
        <v>804.790039428571</v>
      </c>
      <c r="I31" s="36"/>
      <c r="J31" s="41" t="n">
        <v>30183.97</v>
      </c>
      <c r="K31" s="12" t="n">
        <f aca="false">SUM(J31/5)</f>
        <v>6036.794</v>
      </c>
      <c r="L31" s="12" t="n">
        <f aca="false">SUM(E31/J31*K31)</f>
        <v>0.77172</v>
      </c>
      <c r="M31" s="9" t="n">
        <v>3200.65</v>
      </c>
      <c r="N31" s="12" t="n">
        <f aca="false">SUM(L31*M31)</f>
        <v>2470.005618</v>
      </c>
    </row>
    <row r="32" customFormat="false" ht="31.5" hidden="false" customHeight="false" outlineLevel="0" collapsed="false">
      <c r="A32" s="4" t="s">
        <v>60</v>
      </c>
      <c r="B32" s="9" t="s">
        <v>61</v>
      </c>
      <c r="C32" s="9" t="n">
        <v>390</v>
      </c>
      <c r="D32" s="9" t="n">
        <v>0.03</v>
      </c>
      <c r="E32" s="9" t="n">
        <f aca="false">SUM(C32*D32)</f>
        <v>11.7</v>
      </c>
      <c r="F32" s="9" t="n">
        <f aca="false">SUM(E32/21)</f>
        <v>0.557142857142857</v>
      </c>
      <c r="G32" s="9" t="n">
        <v>25.89</v>
      </c>
      <c r="H32" s="12" t="n">
        <f aca="false">SUM(G32*F32)</f>
        <v>14.4244285714286</v>
      </c>
      <c r="I32" s="36"/>
      <c r="J32" s="41" t="n">
        <v>30183.97</v>
      </c>
      <c r="K32" s="12" t="n">
        <f aca="false">SUM(J32/5)</f>
        <v>6036.794</v>
      </c>
      <c r="L32" s="12" t="n">
        <f aca="false">SUM(E32/J32*K32)</f>
        <v>2.34</v>
      </c>
      <c r="M32" s="9" t="n">
        <v>31.72</v>
      </c>
      <c r="N32" s="12" t="n">
        <f aca="false">SUM(L32*M32)</f>
        <v>74.2248</v>
      </c>
    </row>
    <row r="33" customFormat="false" ht="15.75" hidden="false" customHeight="false" outlineLevel="0" collapsed="false">
      <c r="A33" s="9" t="s">
        <v>62</v>
      </c>
      <c r="B33" s="9" t="s">
        <v>61</v>
      </c>
      <c r="C33" s="9" t="n">
        <v>390</v>
      </c>
      <c r="D33" s="9" t="n">
        <v>0.03</v>
      </c>
      <c r="E33" s="9" t="n">
        <f aca="false">SUM(C33*D33)</f>
        <v>11.7</v>
      </c>
      <c r="F33" s="9" t="n">
        <f aca="false">SUM(E33/21)</f>
        <v>0.557142857142857</v>
      </c>
      <c r="G33" s="9" t="n">
        <v>710</v>
      </c>
      <c r="H33" s="12" t="n">
        <f aca="false">SUM(G33*F33)</f>
        <v>395.571428571429</v>
      </c>
      <c r="I33" s="36"/>
      <c r="J33" s="41" t="n">
        <v>30183.97</v>
      </c>
      <c r="K33" s="12" t="n">
        <f aca="false">SUM(J33/5)</f>
        <v>6036.794</v>
      </c>
      <c r="L33" s="12" t="n">
        <f aca="false">SUM(E33/J33*K33)</f>
        <v>2.34</v>
      </c>
      <c r="M33" s="9" t="n">
        <v>28.65</v>
      </c>
      <c r="N33" s="12" t="n">
        <f aca="false">SUM(L33*M33)</f>
        <v>67.041</v>
      </c>
    </row>
    <row r="34" s="46" customFormat="true" ht="15.75" hidden="false" customHeight="false" outlineLevel="0" collapsed="false">
      <c r="A34" s="43"/>
      <c r="B34" s="43"/>
      <c r="C34" s="43"/>
      <c r="D34" s="43"/>
      <c r="E34" s="43"/>
      <c r="F34" s="43"/>
      <c r="G34" s="43"/>
      <c r="H34" s="44" t="n">
        <f aca="false">SUM(H30:H33)</f>
        <v>1530.55732514286</v>
      </c>
      <c r="I34" s="45" t="n">
        <f aca="false">SUM(H34*21)</f>
        <v>32141.703828</v>
      </c>
      <c r="J34" s="43"/>
      <c r="K34" s="43"/>
      <c r="L34" s="43"/>
      <c r="M34" s="43"/>
      <c r="N34" s="44" t="n">
        <f aca="false">SUM(N30:N33)</f>
        <v>3421.991418</v>
      </c>
      <c r="O34" s="46" t="n">
        <f aca="false">SUM(N34*21)</f>
        <v>71861.819778</v>
      </c>
    </row>
    <row r="35" customFormat="false" ht="30.75" hidden="false" customHeight="true" outlineLevel="0" collapsed="false">
      <c r="A35" s="50" t="s">
        <v>67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</row>
    <row r="36" customFormat="false" ht="15.75" hidden="false" customHeight="false" outlineLevel="0" collapsed="false">
      <c r="A36" s="9" t="s">
        <v>56</v>
      </c>
      <c r="B36" s="9" t="s">
        <v>57</v>
      </c>
      <c r="C36" s="9" t="n">
        <v>24000</v>
      </c>
      <c r="D36" s="9" t="n">
        <v>0.16</v>
      </c>
      <c r="E36" s="9" t="n">
        <f aca="false">SUM(C36*D36)</f>
        <v>3840</v>
      </c>
      <c r="F36" s="9" t="n">
        <f aca="false">SUM(E36/21)</f>
        <v>182.857142857143</v>
      </c>
      <c r="G36" s="9" t="n">
        <v>9.21</v>
      </c>
      <c r="H36" s="12" t="n">
        <f aca="false">SUM(G36*F36)</f>
        <v>1684.11428571429</v>
      </c>
      <c r="I36" s="36"/>
      <c r="J36" s="12" t="n">
        <v>30183.97</v>
      </c>
      <c r="K36" s="51" t="n">
        <f aca="false">SUM(J36/24)</f>
        <v>1257.66541666667</v>
      </c>
      <c r="L36" s="51" t="n">
        <f aca="false">SUM(E36/J36*K36)</f>
        <v>160</v>
      </c>
      <c r="M36" s="9" t="n">
        <v>5.63</v>
      </c>
      <c r="N36" s="12" t="n">
        <f aca="false">SUM(L36*M36)</f>
        <v>900.8</v>
      </c>
    </row>
    <row r="37" customFormat="false" ht="15.75" hidden="false" customHeight="false" outlineLevel="0" collapsed="false">
      <c r="A37" s="9" t="s">
        <v>58</v>
      </c>
      <c r="B37" s="9" t="s">
        <v>59</v>
      </c>
      <c r="C37" s="9" t="n">
        <v>128.62</v>
      </c>
      <c r="D37" s="9" t="n">
        <v>0.16</v>
      </c>
      <c r="E37" s="12" t="n">
        <f aca="false">SUM(C37*D37)</f>
        <v>20.5792</v>
      </c>
      <c r="F37" s="9" t="n">
        <f aca="false">SUM(E37/21)</f>
        <v>0.979961904761905</v>
      </c>
      <c r="G37" s="9" t="n">
        <v>4379.98</v>
      </c>
      <c r="H37" s="12" t="n">
        <f aca="false">SUM(G37*F37)</f>
        <v>4292.21354361905</v>
      </c>
      <c r="I37" s="36"/>
      <c r="J37" s="41" t="n">
        <v>30183.97</v>
      </c>
      <c r="K37" s="51" t="n">
        <f aca="false">SUM(J37/24)</f>
        <v>1257.66541666667</v>
      </c>
      <c r="L37" s="51" t="n">
        <f aca="false">SUM(E37/J37*K37)</f>
        <v>0.857466666666667</v>
      </c>
      <c r="M37" s="9" t="n">
        <v>3200.65</v>
      </c>
      <c r="N37" s="12" t="n">
        <f aca="false">SUM(L37*M37)</f>
        <v>2744.45068666667</v>
      </c>
    </row>
    <row r="38" customFormat="false" ht="31.5" hidden="false" customHeight="false" outlineLevel="0" collapsed="false">
      <c r="A38" s="4" t="s">
        <v>60</v>
      </c>
      <c r="B38" s="9" t="s">
        <v>61</v>
      </c>
      <c r="C38" s="9" t="n">
        <v>390</v>
      </c>
      <c r="D38" s="9" t="n">
        <v>0.16</v>
      </c>
      <c r="E38" s="9" t="n">
        <f aca="false">SUM(C38*D38)</f>
        <v>62.4</v>
      </c>
      <c r="F38" s="9" t="n">
        <f aca="false">SUM(E38/21)</f>
        <v>2.97142857142857</v>
      </c>
      <c r="G38" s="9" t="n">
        <v>25.89</v>
      </c>
      <c r="H38" s="12" t="n">
        <f aca="false">SUM(G38*F38)</f>
        <v>76.9302857142857</v>
      </c>
      <c r="I38" s="36"/>
      <c r="J38" s="41" t="n">
        <v>30183.97</v>
      </c>
      <c r="K38" s="51" t="n">
        <f aca="false">SUM(J38/24)</f>
        <v>1257.66541666667</v>
      </c>
      <c r="L38" s="51" t="n">
        <f aca="false">SUM(E38/J38*K38)</f>
        <v>2.6</v>
      </c>
      <c r="M38" s="9" t="n">
        <v>31.72</v>
      </c>
      <c r="N38" s="12" t="n">
        <f aca="false">SUM(L38*M38)</f>
        <v>82.472</v>
      </c>
    </row>
    <row r="39" customFormat="false" ht="15.75" hidden="false" customHeight="false" outlineLevel="0" collapsed="false">
      <c r="A39" s="9" t="s">
        <v>62</v>
      </c>
      <c r="B39" s="9" t="s">
        <v>61</v>
      </c>
      <c r="C39" s="9" t="n">
        <v>390</v>
      </c>
      <c r="D39" s="9" t="n">
        <v>0.16</v>
      </c>
      <c r="E39" s="9" t="n">
        <f aca="false">SUM(C39*D39)</f>
        <v>62.4</v>
      </c>
      <c r="F39" s="9" t="n">
        <f aca="false">SUM(E39/21)</f>
        <v>2.97142857142857</v>
      </c>
      <c r="G39" s="9" t="n">
        <v>710</v>
      </c>
      <c r="H39" s="12" t="n">
        <f aca="false">SUM(G39*F39)</f>
        <v>2109.71428571429</v>
      </c>
      <c r="I39" s="36"/>
      <c r="J39" s="41" t="n">
        <v>30183.97</v>
      </c>
      <c r="K39" s="51" t="n">
        <f aca="false">SUM(J39/24)</f>
        <v>1257.66541666667</v>
      </c>
      <c r="L39" s="51" t="n">
        <f aca="false">SUM(E39/J39*K39)</f>
        <v>2.6</v>
      </c>
      <c r="M39" s="9" t="n">
        <v>28.65</v>
      </c>
      <c r="N39" s="12" t="n">
        <f aca="false">SUM(L39*M39)</f>
        <v>74.49</v>
      </c>
    </row>
    <row r="40" s="46" customFormat="true" ht="15.75" hidden="false" customHeight="false" outlineLevel="0" collapsed="false">
      <c r="A40" s="43"/>
      <c r="B40" s="43"/>
      <c r="C40" s="43"/>
      <c r="D40" s="43"/>
      <c r="E40" s="43"/>
      <c r="F40" s="43"/>
      <c r="G40" s="43"/>
      <c r="H40" s="44" t="n">
        <f aca="false">SUM(H36:H39)</f>
        <v>8162.9724007619</v>
      </c>
      <c r="I40" s="45" t="n">
        <f aca="false">SUM(H40*21)</f>
        <v>171422.420416</v>
      </c>
      <c r="J40" s="43"/>
      <c r="K40" s="43"/>
      <c r="L40" s="43"/>
      <c r="M40" s="43"/>
      <c r="N40" s="44" t="n">
        <f aca="false">SUM(N36:N39)</f>
        <v>3802.21268666667</v>
      </c>
      <c r="O40" s="46" t="n">
        <f aca="false">SUM(N40*21)</f>
        <v>79846.46642</v>
      </c>
    </row>
    <row r="41" customFormat="false" ht="33" hidden="false" customHeight="true" outlineLevel="0" collapsed="false">
      <c r="A41" s="50" t="s">
        <v>68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</row>
    <row r="42" customFormat="false" ht="15.75" hidden="false" customHeight="false" outlineLevel="0" collapsed="false">
      <c r="A42" s="9" t="s">
        <v>56</v>
      </c>
      <c r="B42" s="9" t="s">
        <v>57</v>
      </c>
      <c r="C42" s="9" t="n">
        <v>24000</v>
      </c>
      <c r="D42" s="9" t="n">
        <v>0.05</v>
      </c>
      <c r="E42" s="9" t="n">
        <f aca="false">SUM(C42*D42)</f>
        <v>1200</v>
      </c>
      <c r="F42" s="9" t="n">
        <f aca="false">SUM(E42/21)</f>
        <v>57.1428571428571</v>
      </c>
      <c r="G42" s="9" t="n">
        <v>9.21</v>
      </c>
      <c r="H42" s="12" t="n">
        <f aca="false">SUM(G42*F42)</f>
        <v>526.285714285714</v>
      </c>
      <c r="I42" s="36"/>
      <c r="J42" s="12" t="n">
        <v>30183.97</v>
      </c>
      <c r="K42" s="12" t="n">
        <f aca="false">SUM(J42/8)</f>
        <v>3772.99625</v>
      </c>
      <c r="L42" s="12" t="n">
        <f aca="false">SUM(E42/J42*K42)</f>
        <v>150</v>
      </c>
      <c r="M42" s="9" t="n">
        <v>5.63</v>
      </c>
      <c r="N42" s="12" t="n">
        <f aca="false">SUM(L42*M42)</f>
        <v>844.5</v>
      </c>
    </row>
    <row r="43" customFormat="false" ht="15.75" hidden="false" customHeight="false" outlineLevel="0" collapsed="false">
      <c r="A43" s="9" t="s">
        <v>58</v>
      </c>
      <c r="B43" s="9" t="s">
        <v>59</v>
      </c>
      <c r="C43" s="9" t="n">
        <v>128.62</v>
      </c>
      <c r="D43" s="9" t="n">
        <v>0.05</v>
      </c>
      <c r="E43" s="12" t="n">
        <f aca="false">SUM(C43*D43)</f>
        <v>6.431</v>
      </c>
      <c r="F43" s="9" t="n">
        <f aca="false">SUM(E43/21)</f>
        <v>0.306238095238095</v>
      </c>
      <c r="G43" s="9" t="n">
        <v>4379.98</v>
      </c>
      <c r="H43" s="12" t="n">
        <f aca="false">SUM(G43*F43)</f>
        <v>1341.31673238095</v>
      </c>
      <c r="I43" s="36"/>
      <c r="J43" s="41" t="n">
        <v>30183.97</v>
      </c>
      <c r="K43" s="12" t="n">
        <f aca="false">SUM(J43/8)</f>
        <v>3772.99625</v>
      </c>
      <c r="L43" s="12" t="n">
        <f aca="false">SUM(E43/J43*K43)</f>
        <v>0.803875</v>
      </c>
      <c r="M43" s="9" t="n">
        <v>3200.65</v>
      </c>
      <c r="N43" s="12" t="n">
        <f aca="false">SUM(L43*M43)</f>
        <v>2572.92251875</v>
      </c>
    </row>
    <row r="44" customFormat="false" ht="31.5" hidden="false" customHeight="false" outlineLevel="0" collapsed="false">
      <c r="A44" s="4" t="s">
        <v>60</v>
      </c>
      <c r="B44" s="9" t="s">
        <v>61</v>
      </c>
      <c r="C44" s="9" t="n">
        <v>390</v>
      </c>
      <c r="D44" s="9" t="n">
        <v>0.05</v>
      </c>
      <c r="E44" s="9" t="n">
        <f aca="false">SUM(C44*D44)</f>
        <v>19.5</v>
      </c>
      <c r="F44" s="9" t="n">
        <f aca="false">SUM(E44/21)</f>
        <v>0.928571428571429</v>
      </c>
      <c r="G44" s="9" t="n">
        <v>25.89</v>
      </c>
      <c r="H44" s="12" t="n">
        <f aca="false">SUM(G44*F44)</f>
        <v>24.0407142857143</v>
      </c>
      <c r="I44" s="36"/>
      <c r="J44" s="41" t="n">
        <v>30183.97</v>
      </c>
      <c r="K44" s="12" t="n">
        <f aca="false">SUM(J44/8)</f>
        <v>3772.99625</v>
      </c>
      <c r="L44" s="12" t="n">
        <f aca="false">SUM(E44/J44*K44)</f>
        <v>2.4375</v>
      </c>
      <c r="M44" s="9" t="n">
        <v>31.72</v>
      </c>
      <c r="N44" s="12" t="n">
        <f aca="false">SUM(L44*M44)</f>
        <v>77.3175</v>
      </c>
    </row>
    <row r="45" customFormat="false" ht="15.75" hidden="false" customHeight="false" outlineLevel="0" collapsed="false">
      <c r="A45" s="9" t="s">
        <v>62</v>
      </c>
      <c r="B45" s="9" t="s">
        <v>61</v>
      </c>
      <c r="C45" s="9" t="n">
        <v>390</v>
      </c>
      <c r="D45" s="9" t="n">
        <v>0.05</v>
      </c>
      <c r="E45" s="9" t="n">
        <f aca="false">SUM(C45*D45)</f>
        <v>19.5</v>
      </c>
      <c r="F45" s="9" t="n">
        <f aca="false">SUM(E45/21)</f>
        <v>0.928571428571429</v>
      </c>
      <c r="G45" s="9" t="n">
        <v>710</v>
      </c>
      <c r="H45" s="12" t="n">
        <f aca="false">SUM(G45*F45)</f>
        <v>659.285714285714</v>
      </c>
      <c r="I45" s="36"/>
      <c r="J45" s="41" t="n">
        <v>30183.97</v>
      </c>
      <c r="K45" s="12" t="n">
        <f aca="false">SUM(J45/8)</f>
        <v>3772.99625</v>
      </c>
      <c r="L45" s="12" t="n">
        <f aca="false">SUM(E45/J45*K45)</f>
        <v>2.4375</v>
      </c>
      <c r="M45" s="9" t="n">
        <v>28.65</v>
      </c>
      <c r="N45" s="12" t="n">
        <f aca="false">SUM(L45*M45)</f>
        <v>69.834375</v>
      </c>
    </row>
    <row r="46" s="46" customFormat="true" ht="15.75" hidden="false" customHeight="false" outlineLevel="0" collapsed="false">
      <c r="A46" s="43"/>
      <c r="B46" s="43"/>
      <c r="C46" s="43"/>
      <c r="D46" s="43"/>
      <c r="E46" s="43"/>
      <c r="F46" s="43"/>
      <c r="G46" s="43"/>
      <c r="H46" s="44" t="n">
        <f aca="false">SUM(H42:H45)</f>
        <v>2550.9288752381</v>
      </c>
      <c r="I46" s="45" t="n">
        <f aca="false">SUM(H46*21)</f>
        <v>53569.50638</v>
      </c>
      <c r="J46" s="43"/>
      <c r="K46" s="43"/>
      <c r="L46" s="43"/>
      <c r="M46" s="43"/>
      <c r="N46" s="44" t="n">
        <f aca="false">SUM(N42:N45)</f>
        <v>3564.57439375</v>
      </c>
      <c r="O46" s="46" t="n">
        <f aca="false">SUM(N46*21)</f>
        <v>74856.06226875</v>
      </c>
    </row>
    <row r="47" customFormat="false" ht="33" hidden="false" customHeight="true" outlineLevel="0" collapsed="false">
      <c r="A47" s="50" t="s">
        <v>69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customFormat="false" ht="15.75" hidden="false" customHeight="false" outlineLevel="0" collapsed="false">
      <c r="A48" s="9" t="s">
        <v>56</v>
      </c>
      <c r="B48" s="9" t="s">
        <v>57</v>
      </c>
      <c r="C48" s="9" t="n">
        <v>24000</v>
      </c>
      <c r="D48" s="9" t="n">
        <v>0.08</v>
      </c>
      <c r="E48" s="9" t="n">
        <f aca="false">SUM(C48*D48)</f>
        <v>1920</v>
      </c>
      <c r="F48" s="9" t="n">
        <f aca="false">SUM(E48/21)</f>
        <v>91.4285714285714</v>
      </c>
      <c r="G48" s="9" t="n">
        <v>9.21</v>
      </c>
      <c r="H48" s="12" t="n">
        <f aca="false">SUM(G48*F48)</f>
        <v>842.057142857143</v>
      </c>
      <c r="I48" s="36"/>
      <c r="J48" s="12" t="n">
        <v>30183.97</v>
      </c>
      <c r="K48" s="12" t="n">
        <f aca="false">SUM(J48/12)</f>
        <v>2515.33083333333</v>
      </c>
      <c r="L48" s="12" t="n">
        <f aca="false">SUM(E48/J48*K48)</f>
        <v>160</v>
      </c>
      <c r="M48" s="9" t="n">
        <v>5.63</v>
      </c>
      <c r="N48" s="12" t="n">
        <f aca="false">SUM(L48*M48)</f>
        <v>900.8</v>
      </c>
    </row>
    <row r="49" customFormat="false" ht="15.75" hidden="false" customHeight="false" outlineLevel="0" collapsed="false">
      <c r="A49" s="9" t="s">
        <v>58</v>
      </c>
      <c r="B49" s="9" t="s">
        <v>59</v>
      </c>
      <c r="C49" s="9" t="n">
        <v>128.62</v>
      </c>
      <c r="D49" s="9" t="n">
        <v>0.08</v>
      </c>
      <c r="E49" s="12" t="n">
        <f aca="false">SUM(C49*D49)</f>
        <v>10.2896</v>
      </c>
      <c r="F49" s="9" t="n">
        <f aca="false">SUM(E49/21)</f>
        <v>0.489980952380952</v>
      </c>
      <c r="G49" s="9" t="n">
        <v>4379.98</v>
      </c>
      <c r="H49" s="12" t="n">
        <f aca="false">SUM(G49*F49)</f>
        <v>2146.10677180952</v>
      </c>
      <c r="I49" s="36"/>
      <c r="J49" s="41" t="n">
        <v>30183.97</v>
      </c>
      <c r="K49" s="12" t="n">
        <f aca="false">SUM(J49/12)</f>
        <v>2515.33083333333</v>
      </c>
      <c r="L49" s="12" t="n">
        <f aca="false">SUM(E49/J49*K49)</f>
        <v>0.857466666666667</v>
      </c>
      <c r="M49" s="9" t="n">
        <v>3200.65</v>
      </c>
      <c r="N49" s="12" t="n">
        <f aca="false">SUM(L49*M49)</f>
        <v>2744.45068666667</v>
      </c>
    </row>
    <row r="50" customFormat="false" ht="31.5" hidden="false" customHeight="false" outlineLevel="0" collapsed="false">
      <c r="A50" s="4" t="s">
        <v>60</v>
      </c>
      <c r="B50" s="9" t="s">
        <v>61</v>
      </c>
      <c r="C50" s="9" t="n">
        <v>390</v>
      </c>
      <c r="D50" s="9" t="n">
        <v>0.08</v>
      </c>
      <c r="E50" s="9" t="n">
        <f aca="false">SUM(C50*D50)</f>
        <v>31.2</v>
      </c>
      <c r="F50" s="9" t="n">
        <f aca="false">SUM(E50/21)</f>
        <v>1.48571428571429</v>
      </c>
      <c r="G50" s="9" t="n">
        <v>25.89</v>
      </c>
      <c r="H50" s="12" t="n">
        <f aca="false">SUM(G50*F50)</f>
        <v>38.4651428571429</v>
      </c>
      <c r="I50" s="36"/>
      <c r="J50" s="41" t="n">
        <v>30183.97</v>
      </c>
      <c r="K50" s="12" t="n">
        <f aca="false">SUM(J50/12)</f>
        <v>2515.33083333333</v>
      </c>
      <c r="L50" s="12" t="n">
        <f aca="false">SUM(E50/J50*K50)</f>
        <v>2.6</v>
      </c>
      <c r="M50" s="9" t="n">
        <v>31.72</v>
      </c>
      <c r="N50" s="12" t="n">
        <f aca="false">SUM(L50*M50)</f>
        <v>82.472</v>
      </c>
    </row>
    <row r="51" customFormat="false" ht="15.75" hidden="false" customHeight="false" outlineLevel="0" collapsed="false">
      <c r="A51" s="9" t="s">
        <v>62</v>
      </c>
      <c r="B51" s="9" t="s">
        <v>61</v>
      </c>
      <c r="C51" s="9" t="n">
        <v>390</v>
      </c>
      <c r="D51" s="9" t="n">
        <v>0.08</v>
      </c>
      <c r="E51" s="9" t="n">
        <f aca="false">SUM(C51*D51)</f>
        <v>31.2</v>
      </c>
      <c r="F51" s="9" t="n">
        <f aca="false">SUM(E51/21)</f>
        <v>1.48571428571429</v>
      </c>
      <c r="G51" s="9" t="n">
        <v>710</v>
      </c>
      <c r="H51" s="12" t="n">
        <f aca="false">SUM(G51*F51)</f>
        <v>1054.85714285714</v>
      </c>
      <c r="I51" s="36"/>
      <c r="J51" s="41" t="n">
        <v>30183.97</v>
      </c>
      <c r="K51" s="12" t="n">
        <f aca="false">SUM(J51/12)</f>
        <v>2515.33083333333</v>
      </c>
      <c r="L51" s="12" t="n">
        <f aca="false">SUM(E51/J51*K51)</f>
        <v>2.6</v>
      </c>
      <c r="M51" s="9" t="n">
        <v>28.65</v>
      </c>
      <c r="N51" s="12" t="n">
        <f aca="false">SUM(L51*M51)</f>
        <v>74.49</v>
      </c>
    </row>
    <row r="52" s="46" customFormat="true" ht="15.75" hidden="false" customHeight="false" outlineLevel="0" collapsed="false">
      <c r="A52" s="43"/>
      <c r="B52" s="43"/>
      <c r="C52" s="43"/>
      <c r="D52" s="43"/>
      <c r="E52" s="43"/>
      <c r="F52" s="43"/>
      <c r="G52" s="43"/>
      <c r="H52" s="44" t="n">
        <f aca="false">SUM(H48:H51)</f>
        <v>4081.48620038095</v>
      </c>
      <c r="I52" s="45" t="n">
        <f aca="false">SUM(H52*21)</f>
        <v>85711.210208</v>
      </c>
      <c r="J52" s="43"/>
      <c r="K52" s="43"/>
      <c r="L52" s="43"/>
      <c r="M52" s="43"/>
      <c r="N52" s="44" t="n">
        <f aca="false">SUM(N48:N51)</f>
        <v>3802.21268666667</v>
      </c>
      <c r="O52" s="46" t="n">
        <f aca="false">SUM(N52*21)</f>
        <v>79846.46642</v>
      </c>
    </row>
    <row r="54" customFormat="false" ht="15" hidden="false" customHeight="false" outlineLevel="0" collapsed="false">
      <c r="O54" s="34" t="n">
        <f aca="false">O52+O46+O40+O34+O28+O22+O16+O10</f>
        <v>1925177.8942855</v>
      </c>
    </row>
  </sheetData>
  <mergeCells count="11">
    <mergeCell ref="A1:N1"/>
    <mergeCell ref="A2:N2"/>
    <mergeCell ref="B3:H3"/>
    <mergeCell ref="A5:N5"/>
    <mergeCell ref="A11:N11"/>
    <mergeCell ref="A17:N17"/>
    <mergeCell ref="A23:N23"/>
    <mergeCell ref="A29:N29"/>
    <mergeCell ref="A35:N35"/>
    <mergeCell ref="A41:N41"/>
    <mergeCell ref="A47:N4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M21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G19" activeCellId="0" sqref="G19"/>
    </sheetView>
  </sheetViews>
  <sheetFormatPr defaultRowHeight="15" zeroHeight="false" outlineLevelRow="0" outlineLevelCol="0"/>
  <cols>
    <col collapsed="false" customWidth="true" hidden="false" outlineLevel="0" max="1" min="1" style="34" width="27.85"/>
    <col collapsed="false" customWidth="true" hidden="false" outlineLevel="0" max="3" min="2" style="34" width="9.13"/>
    <col collapsed="false" customWidth="true" hidden="false" outlineLevel="0" max="4" min="4" style="34" width="12.71"/>
    <col collapsed="false" customWidth="true" hidden="false" outlineLevel="0" max="5" min="5" style="34" width="8.71"/>
    <col collapsed="false" customWidth="true" hidden="false" outlineLevel="0" max="6" min="6" style="34" width="10.12"/>
    <col collapsed="false" customWidth="true" hidden="false" outlineLevel="0" max="7" min="7" style="34" width="11.3"/>
    <col collapsed="false" customWidth="true" hidden="false" outlineLevel="0" max="8" min="8" style="34" width="14.86"/>
    <col collapsed="false" customWidth="true" hidden="false" outlineLevel="0" max="1025" min="9" style="34" width="9.13"/>
  </cols>
  <sheetData>
    <row r="1" customFormat="false" ht="45.75" hidden="false" customHeight="true" outlineLevel="0" collapsed="false">
      <c r="A1" s="2" t="s">
        <v>70</v>
      </c>
      <c r="B1" s="2"/>
      <c r="C1" s="2"/>
      <c r="D1" s="2"/>
      <c r="E1" s="2"/>
      <c r="F1" s="2"/>
      <c r="G1" s="2"/>
      <c r="H1" s="2"/>
    </row>
    <row r="2" customFormat="false" ht="16.5" hidden="false" customHeight="true" outlineLevel="0" collapsed="false">
      <c r="A2" s="52" t="s">
        <v>71</v>
      </c>
      <c r="B2" s="52"/>
      <c r="C2" s="52"/>
      <c r="D2" s="52"/>
      <c r="E2" s="52"/>
      <c r="F2" s="52"/>
      <c r="G2" s="52"/>
      <c r="H2" s="52"/>
    </row>
    <row r="3" customFormat="false" ht="16.5" hidden="false" customHeight="true" outlineLevel="0" collapsed="false">
      <c r="A3" s="52" t="s">
        <v>72</v>
      </c>
      <c r="B3" s="52"/>
      <c r="C3" s="52"/>
      <c r="D3" s="52"/>
      <c r="E3" s="52"/>
      <c r="F3" s="52"/>
      <c r="G3" s="52"/>
      <c r="H3" s="52"/>
    </row>
    <row r="4" customFormat="false" ht="23.25" hidden="false" customHeight="true" outlineLevel="0" collapsed="false">
      <c r="A4" s="52" t="s">
        <v>73</v>
      </c>
      <c r="B4" s="52"/>
      <c r="C4" s="52"/>
      <c r="D4" s="52"/>
      <c r="E4" s="52"/>
      <c r="F4" s="52"/>
      <c r="G4" s="52"/>
      <c r="H4" s="52"/>
    </row>
    <row r="5" customFormat="false" ht="93" hidden="false" customHeight="true" outlineLevel="0" collapsed="false">
      <c r="A5" s="53" t="s">
        <v>74</v>
      </c>
      <c r="B5" s="54" t="s">
        <v>30</v>
      </c>
      <c r="C5" s="54" t="s">
        <v>31</v>
      </c>
      <c r="D5" s="54" t="s">
        <v>75</v>
      </c>
      <c r="E5" s="54" t="s">
        <v>76</v>
      </c>
      <c r="F5" s="54" t="s">
        <v>77</v>
      </c>
      <c r="G5" s="54" t="s">
        <v>78</v>
      </c>
      <c r="H5" s="55" t="s">
        <v>52</v>
      </c>
    </row>
    <row r="6" s="59" customFormat="true" ht="13.5" hidden="false" customHeight="true" outlineLevel="0" collapsed="false">
      <c r="A6" s="56" t="n">
        <v>1</v>
      </c>
      <c r="B6" s="57" t="n">
        <v>2</v>
      </c>
      <c r="C6" s="57" t="n">
        <v>3</v>
      </c>
      <c r="D6" s="57" t="n">
        <v>4</v>
      </c>
      <c r="E6" s="57" t="n">
        <v>5</v>
      </c>
      <c r="F6" s="57" t="n">
        <v>6</v>
      </c>
      <c r="G6" s="57" t="n">
        <v>7</v>
      </c>
      <c r="H6" s="58" t="n">
        <v>8</v>
      </c>
    </row>
    <row r="7" customFormat="false" ht="15.75" hidden="false" customHeight="false" outlineLevel="0" collapsed="false">
      <c r="A7" s="60" t="s">
        <v>33</v>
      </c>
      <c r="B7" s="9" t="n">
        <v>18.61</v>
      </c>
      <c r="C7" s="9" t="n">
        <v>192529.76</v>
      </c>
      <c r="D7" s="9" t="n">
        <f aca="false">1772.4*B7</f>
        <v>32984.364</v>
      </c>
      <c r="E7" s="9" t="n">
        <v>150</v>
      </c>
      <c r="F7" s="12" t="n">
        <f aca="false">SUM(D7/E7)</f>
        <v>219.89576</v>
      </c>
      <c r="G7" s="12" t="n">
        <f aca="false">SUM(C7*12*1.302/1772.4/B7)</f>
        <v>91.197300946594</v>
      </c>
      <c r="H7" s="61" t="n">
        <f aca="false">SUM(F7*G7)</f>
        <v>20053.8998016</v>
      </c>
    </row>
    <row r="8" customFormat="false" ht="15.75" hidden="false" customHeight="false" outlineLevel="0" collapsed="false">
      <c r="A8" s="60" t="s">
        <v>35</v>
      </c>
      <c r="B8" s="9" t="n">
        <v>0.3</v>
      </c>
      <c r="C8" s="9" t="n">
        <v>2808.63</v>
      </c>
      <c r="D8" s="62" t="n">
        <f aca="false">1772.4*B8</f>
        <v>531.72</v>
      </c>
      <c r="E8" s="9" t="n">
        <v>150</v>
      </c>
      <c r="F8" s="12" t="n">
        <f aca="false">SUM(D8/E8)</f>
        <v>3.5448</v>
      </c>
      <c r="G8" s="12" t="n">
        <f aca="false">SUM(C8*12*1.302/1772.4/B8)</f>
        <v>82.5284644549763</v>
      </c>
      <c r="H8" s="61" t="n">
        <f aca="false">SUM(F8*G8)</f>
        <v>292.5469008</v>
      </c>
    </row>
    <row r="9" customFormat="false" ht="15.75" hidden="false" customHeight="false" outlineLevel="0" collapsed="false">
      <c r="A9" s="60"/>
      <c r="B9" s="9"/>
      <c r="C9" s="9"/>
      <c r="D9" s="9"/>
      <c r="E9" s="9"/>
      <c r="F9" s="12"/>
      <c r="G9" s="12"/>
      <c r="H9" s="63"/>
    </row>
    <row r="10" customFormat="false" ht="15.75" hidden="false" customHeight="false" outlineLevel="0" collapsed="false">
      <c r="A10" s="60"/>
      <c r="B10" s="9"/>
      <c r="C10" s="9"/>
      <c r="D10" s="9"/>
      <c r="E10" s="9"/>
      <c r="F10" s="12"/>
      <c r="G10" s="12"/>
      <c r="H10" s="63"/>
    </row>
    <row r="11" customFormat="false" ht="15.75" hidden="false" customHeight="false" outlineLevel="0" collapsed="false">
      <c r="A11" s="60"/>
      <c r="B11" s="9"/>
      <c r="C11" s="9"/>
      <c r="D11" s="9"/>
      <c r="E11" s="9"/>
      <c r="F11" s="12"/>
      <c r="G11" s="12"/>
      <c r="H11" s="63"/>
    </row>
    <row r="12" customFormat="false" ht="15.75" hidden="false" customHeight="false" outlineLevel="0" collapsed="false">
      <c r="A12" s="64"/>
      <c r="B12" s="9"/>
      <c r="C12" s="9"/>
      <c r="D12" s="9"/>
      <c r="E12" s="9"/>
      <c r="F12" s="12"/>
      <c r="G12" s="12"/>
      <c r="H12" s="63"/>
    </row>
    <row r="13" customFormat="false" ht="15.75" hidden="false" customHeight="false" outlineLevel="0" collapsed="false">
      <c r="A13" s="60" t="s">
        <v>79</v>
      </c>
      <c r="B13" s="9" t="n">
        <f aca="false">B7+B8</f>
        <v>18.91</v>
      </c>
      <c r="C13" s="9" t="n">
        <v>298696.56</v>
      </c>
      <c r="D13" s="9" t="n">
        <f aca="false">SUM(D7:D12)</f>
        <v>33516.084</v>
      </c>
      <c r="E13" s="9" t="n">
        <v>150</v>
      </c>
      <c r="F13" s="9" t="n">
        <f aca="false">SUM(D13/E13)</f>
        <v>223.44056</v>
      </c>
      <c r="G13" s="12" t="n">
        <f aca="false">SUM(C13*12*1.302/1772.4/B13)</f>
        <v>139.241656436951</v>
      </c>
      <c r="H13" s="63" t="n">
        <f aca="false">SUM(F13*G13)</f>
        <v>31112.2336896</v>
      </c>
    </row>
    <row r="14" customFormat="false" ht="15.75" hidden="false" customHeight="false" outlineLevel="0" collapsed="false">
      <c r="A14" s="60"/>
      <c r="B14" s="43" t="n">
        <f aca="false">SUM(B7:B12)</f>
        <v>18.91</v>
      </c>
      <c r="C14" s="43" t="n">
        <f aca="false">SUM(C7:C13)</f>
        <v>494034.95</v>
      </c>
      <c r="D14" s="43" t="n">
        <f aca="false">SUM(D7:D12)</f>
        <v>33516.084</v>
      </c>
      <c r="E14" s="9"/>
      <c r="F14" s="43"/>
      <c r="G14" s="9"/>
      <c r="H14" s="65" t="n">
        <f aca="false">SUM(H7:H13)</f>
        <v>51458.680392</v>
      </c>
    </row>
    <row r="15" customFormat="false" ht="15.75" hidden="false" customHeight="false" outlineLevel="0" collapsed="false">
      <c r="A15" s="66" t="s">
        <v>80</v>
      </c>
      <c r="B15" s="66"/>
      <c r="C15" s="66"/>
      <c r="D15" s="66"/>
      <c r="E15" s="66"/>
      <c r="F15" s="66"/>
      <c r="G15" s="66"/>
      <c r="H15" s="65" t="n">
        <f aca="false">H14</f>
        <v>51458.680392</v>
      </c>
      <c r="I15" s="34" t="n">
        <v>0.66</v>
      </c>
      <c r="J15" s="34" t="n">
        <f aca="false">SUM(H15*133)</f>
        <v>6844004.492136</v>
      </c>
    </row>
    <row r="16" customFormat="false" ht="78.75" hidden="false" customHeight="false" outlineLevel="0" collapsed="false">
      <c r="A16" s="64" t="s">
        <v>81</v>
      </c>
      <c r="B16" s="67" t="n">
        <v>0.94</v>
      </c>
      <c r="C16" s="67" t="n">
        <f aca="false">SUM(C12/16*B16+(C13/B13*B16))</f>
        <v>14847.9516869381</v>
      </c>
      <c r="D16" s="9" t="n">
        <f aca="false">SUM(1772.4*B16)</f>
        <v>1666.056</v>
      </c>
      <c r="E16" s="67" t="n">
        <v>17</v>
      </c>
      <c r="F16" s="12" t="n">
        <f aca="false">SUM(D16/E16)</f>
        <v>98.0032941176471</v>
      </c>
      <c r="G16" s="12" t="n">
        <f aca="false">SUM(C16*12*1.302/1772.4/B16)</f>
        <v>139.241656436951</v>
      </c>
      <c r="H16" s="65" t="n">
        <f aca="false">SUM(H15*0.66)</f>
        <v>33962.72905872</v>
      </c>
      <c r="J16" s="34" t="n">
        <f aca="false">SUM(H16*17)</f>
        <v>577366.39399824</v>
      </c>
      <c r="K16" s="34" t="n">
        <v>0.33</v>
      </c>
      <c r="L16" s="34" t="n">
        <v>0.44</v>
      </c>
      <c r="M16" s="34" t="n">
        <v>0.17</v>
      </c>
    </row>
    <row r="17" customFormat="false" ht="18.75" hidden="false" customHeight="false" outlineLevel="0" collapsed="false">
      <c r="A17" s="68"/>
      <c r="B17" s="69" t="n">
        <f aca="false">SUM(B14-B16)</f>
        <v>17.97</v>
      </c>
      <c r="C17" s="69" t="n">
        <f aca="false">SUM(C14-C16)</f>
        <v>479186.998313062</v>
      </c>
      <c r="D17" s="70" t="n">
        <f aca="false">SUM(D14-D16)</f>
        <v>31850.028</v>
      </c>
      <c r="E17" s="69" t="n">
        <v>133</v>
      </c>
      <c r="F17" s="71" t="n">
        <f aca="false">SUM(D17/E17)</f>
        <v>239.473894736842</v>
      </c>
      <c r="G17" s="71" t="n">
        <f aca="false">SUM(C17*12*1.302/1772.4/B17)</f>
        <v>235.064712082617</v>
      </c>
      <c r="H17" s="72"/>
      <c r="J17" s="34" t="n">
        <f aca="false">SUM(J15:J16)</f>
        <v>7421370.88613424</v>
      </c>
    </row>
    <row r="18" customFormat="false" ht="31.5" hidden="false" customHeight="false" outlineLevel="0" collapsed="false">
      <c r="A18" s="73" t="s">
        <v>82</v>
      </c>
      <c r="B18" s="36"/>
      <c r="C18" s="36"/>
      <c r="D18" s="42" t="n">
        <f aca="false">SUM(D14/B14)</f>
        <v>1772.4</v>
      </c>
      <c r="E18" s="36"/>
      <c r="F18" s="36"/>
      <c r="G18" s="36"/>
      <c r="H18" s="74" t="n">
        <f aca="false">SUM(H15*150)</f>
        <v>7718802.0588</v>
      </c>
      <c r="I18" s="34" t="n">
        <f aca="false">SUM(H16*150)</f>
        <v>5094409.358808</v>
      </c>
    </row>
    <row r="19" customFormat="false" ht="94.5" hidden="false" customHeight="false" outlineLevel="0" collapsed="false">
      <c r="A19" s="73" t="s">
        <v>83</v>
      </c>
      <c r="B19" s="36"/>
      <c r="C19" s="36"/>
      <c r="D19" s="42" t="n">
        <f aca="false">SUM(D14/150)</f>
        <v>223.44056</v>
      </c>
      <c r="E19" s="36"/>
      <c r="F19" s="36"/>
      <c r="G19" s="36"/>
      <c r="H19" s="75" t="n">
        <f aca="false">SUM(H18)*0.3</f>
        <v>2315640.61764</v>
      </c>
    </row>
    <row r="20" customFormat="false" ht="110.25" hidden="false" customHeight="false" outlineLevel="0" collapsed="false">
      <c r="A20" s="73" t="s">
        <v>84</v>
      </c>
      <c r="B20" s="36"/>
      <c r="C20" s="36"/>
      <c r="D20" s="76" t="n">
        <f aca="false">SUM(D17/133)</f>
        <v>239.473894736842</v>
      </c>
      <c r="E20" s="36"/>
      <c r="F20" s="36"/>
      <c r="G20" s="36"/>
      <c r="H20" s="36"/>
    </row>
    <row r="21" customFormat="false" ht="15" hidden="false" customHeight="false" outlineLevel="0" collapsed="false">
      <c r="H21" s="34" t="n">
        <f aca="false">SUM(H15+H16)</f>
        <v>85421.40945072</v>
      </c>
    </row>
  </sheetData>
  <mergeCells count="5">
    <mergeCell ref="A1:H1"/>
    <mergeCell ref="A2:H2"/>
    <mergeCell ref="A3:H3"/>
    <mergeCell ref="A4:H4"/>
    <mergeCell ref="A15:G1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J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7" activeCellId="0" sqref="E17"/>
    </sheetView>
  </sheetViews>
  <sheetFormatPr defaultRowHeight="15" zeroHeight="false" outlineLevelRow="0" outlineLevelCol="0"/>
  <cols>
    <col collapsed="false" customWidth="true" hidden="false" outlineLevel="0" max="1" min="1" style="77" width="24.15"/>
    <col collapsed="false" customWidth="true" hidden="false" outlineLevel="0" max="2" min="2" style="77" width="11.57"/>
    <col collapsed="false" customWidth="true" hidden="false" outlineLevel="0" max="3" min="3" style="77" width="19"/>
    <col collapsed="false" customWidth="true" hidden="false" outlineLevel="0" max="4" min="4" style="77" width="17"/>
    <col collapsed="false" customWidth="true" hidden="false" outlineLevel="0" max="5" min="5" style="77" width="19.71"/>
    <col collapsed="false" customWidth="true" hidden="false" outlineLevel="0" max="6" min="6" style="77" width="11.99"/>
    <col collapsed="false" customWidth="true" hidden="false" outlineLevel="0" max="7" min="7" style="77" width="18.29"/>
    <col collapsed="false" customWidth="true" hidden="false" outlineLevel="0" max="8" min="8" style="77" width="10.99"/>
    <col collapsed="false" customWidth="true" hidden="false" outlineLevel="0" max="9" min="9" style="77" width="13.29"/>
    <col collapsed="false" customWidth="true" hidden="false" outlineLevel="0" max="10" min="10" style="77" width="14.43"/>
    <col collapsed="false" customWidth="true" hidden="false" outlineLevel="0" max="1025" min="11" style="77" width="9.13"/>
  </cols>
  <sheetData>
    <row r="1" customFormat="false" ht="35.25" hidden="false" customHeight="true" outlineLevel="0" collapsed="false">
      <c r="A1" s="78" t="s">
        <v>0</v>
      </c>
      <c r="B1" s="78"/>
      <c r="C1" s="78"/>
      <c r="D1" s="78"/>
      <c r="E1" s="78"/>
      <c r="F1" s="78"/>
      <c r="G1" s="78"/>
    </row>
    <row r="2" customFormat="false" ht="50.25" hidden="false" customHeight="true" outlineLevel="0" collapsed="false">
      <c r="A2" s="79" t="s">
        <v>85</v>
      </c>
      <c r="B2" s="79"/>
      <c r="C2" s="79"/>
      <c r="D2" s="79"/>
      <c r="E2" s="79"/>
      <c r="F2" s="79"/>
      <c r="G2" s="79"/>
    </row>
    <row r="3" customFormat="false" ht="15" hidden="false" customHeight="true" outlineLevel="0" collapsed="false">
      <c r="A3" s="80" t="s">
        <v>2</v>
      </c>
      <c r="B3" s="80"/>
      <c r="C3" s="80"/>
      <c r="D3" s="80"/>
      <c r="E3" s="80"/>
      <c r="F3" s="80"/>
      <c r="G3" s="80"/>
    </row>
    <row r="4" customFormat="false" ht="146.25" hidden="false" customHeight="true" outlineLevel="0" collapsed="false">
      <c r="A4" s="81" t="s">
        <v>3</v>
      </c>
      <c r="B4" s="81"/>
      <c r="C4" s="81" t="s">
        <v>4</v>
      </c>
      <c r="D4" s="81" t="s">
        <v>5</v>
      </c>
      <c r="E4" s="81" t="s">
        <v>6</v>
      </c>
      <c r="F4" s="81" t="s">
        <v>7</v>
      </c>
      <c r="G4" s="81" t="s">
        <v>8</v>
      </c>
      <c r="H4" s="81" t="s">
        <v>9</v>
      </c>
      <c r="I4" s="81" t="s">
        <v>10</v>
      </c>
      <c r="J4" s="81" t="s">
        <v>11</v>
      </c>
    </row>
    <row r="5" customFormat="false" ht="30" hidden="false" customHeight="false" outlineLevel="0" collapsed="false">
      <c r="A5" s="82" t="s">
        <v>12</v>
      </c>
      <c r="B5" s="82" t="n">
        <v>150</v>
      </c>
      <c r="C5" s="83" t="n">
        <v>40</v>
      </c>
      <c r="D5" s="83" t="n">
        <v>30</v>
      </c>
      <c r="E5" s="83" t="n">
        <v>4</v>
      </c>
      <c r="F5" s="83" t="n">
        <v>27</v>
      </c>
      <c r="G5" s="83" t="n">
        <v>5</v>
      </c>
      <c r="H5" s="83" t="n">
        <v>24</v>
      </c>
      <c r="I5" s="83" t="n">
        <v>8</v>
      </c>
      <c r="J5" s="83" t="n">
        <v>12</v>
      </c>
    </row>
    <row r="6" customFormat="false" ht="34.5" hidden="false" customHeight="true" outlineLevel="0" collapsed="false">
      <c r="A6" s="81" t="s">
        <v>13</v>
      </c>
      <c r="B6" s="84" t="n">
        <v>100000</v>
      </c>
      <c r="C6" s="83"/>
      <c r="D6" s="83"/>
      <c r="E6" s="83"/>
      <c r="F6" s="83"/>
      <c r="G6" s="83"/>
      <c r="H6" s="83"/>
      <c r="I6" s="83"/>
      <c r="J6" s="83"/>
    </row>
    <row r="7" customFormat="false" ht="30" hidden="false" customHeight="false" outlineLevel="0" collapsed="false">
      <c r="A7" s="81" t="s">
        <v>14</v>
      </c>
      <c r="B7" s="85" t="n">
        <f aca="false">SUM(B6/B5)</f>
        <v>666.666666666667</v>
      </c>
      <c r="C7" s="86"/>
      <c r="D7" s="86"/>
      <c r="E7" s="86"/>
      <c r="F7" s="86"/>
      <c r="G7" s="86"/>
      <c r="H7" s="83"/>
      <c r="I7" s="83"/>
      <c r="J7" s="83"/>
    </row>
    <row r="8" customFormat="false" ht="21" hidden="false" customHeight="true" outlineLevel="0" collapsed="false">
      <c r="A8" s="81" t="s">
        <v>15</v>
      </c>
      <c r="B8" s="83"/>
      <c r="C8" s="87" t="n">
        <f aca="false">SUM(B7*C5)</f>
        <v>26666.6666666667</v>
      </c>
      <c r="D8" s="87" t="n">
        <f aca="false">SUM(B7*D5)</f>
        <v>20000</v>
      </c>
      <c r="E8" s="87" t="n">
        <f aca="false">SUM(B7*E5)</f>
        <v>2666.66666666667</v>
      </c>
      <c r="F8" s="87" t="n">
        <f aca="false">SUM(B7*F5)</f>
        <v>18000</v>
      </c>
      <c r="G8" s="87" t="n">
        <f aca="false">SUM(B7*G5)</f>
        <v>3333.33333333333</v>
      </c>
      <c r="H8" s="87" t="n">
        <f aca="false">B7*H5</f>
        <v>16000</v>
      </c>
      <c r="I8" s="87" t="n">
        <f aca="false">B7*I5</f>
        <v>5333.33333333333</v>
      </c>
      <c r="J8" s="87" t="n">
        <f aca="false">J5*B7</f>
        <v>8000</v>
      </c>
    </row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15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0" activeCellId="0" sqref="J10"/>
    </sheetView>
  </sheetViews>
  <sheetFormatPr defaultRowHeight="15" zeroHeight="false" outlineLevelRow="0" outlineLevelCol="0"/>
  <cols>
    <col collapsed="false" customWidth="true" hidden="false" outlineLevel="0" max="1" min="1" style="1" width="25.14"/>
    <col collapsed="false" customWidth="true" hidden="false" outlineLevel="0" max="2" min="2" style="1" width="10.58"/>
    <col collapsed="false" customWidth="true" hidden="false" outlineLevel="0" max="3" min="3" style="1" width="12.57"/>
    <col collapsed="false" customWidth="false" hidden="true" outlineLevel="0" max="4" min="4" style="1" width="11.42"/>
    <col collapsed="false" customWidth="true" hidden="false" outlineLevel="0" max="5" min="5" style="1" width="17.4"/>
    <col collapsed="false" customWidth="true" hidden="false" outlineLevel="0" max="6" min="6" style="1" width="16.71"/>
    <col collapsed="false" customWidth="true" hidden="false" outlineLevel="0" max="8" min="7" style="1" width="10.71"/>
    <col collapsed="false" customWidth="true" hidden="false" outlineLevel="0" max="1025" min="9" style="1" width="9.13"/>
  </cols>
  <sheetData>
    <row r="1" customFormat="false" ht="15.75" hidden="false" customHeight="false" outlineLevel="0" collapsed="false">
      <c r="A1" s="37" t="s">
        <v>86</v>
      </c>
      <c r="B1" s="37"/>
      <c r="C1" s="37"/>
      <c r="D1" s="37"/>
      <c r="E1" s="37"/>
      <c r="F1" s="37"/>
      <c r="G1" s="37"/>
      <c r="H1" s="37"/>
    </row>
    <row r="2" customFormat="false" ht="81" hidden="false" customHeight="true" outlineLevel="0" collapsed="false">
      <c r="A2" s="9" t="s">
        <v>87</v>
      </c>
      <c r="B2" s="4" t="s">
        <v>88</v>
      </c>
      <c r="C2" s="4" t="s">
        <v>89</v>
      </c>
      <c r="D2" s="4"/>
      <c r="E2" s="4" t="s">
        <v>90</v>
      </c>
      <c r="F2" s="4" t="s">
        <v>54</v>
      </c>
      <c r="G2" s="4" t="s">
        <v>91</v>
      </c>
      <c r="H2" s="4" t="s">
        <v>52</v>
      </c>
    </row>
    <row r="3" customFormat="false" ht="30.75" hidden="false" customHeight="true" outlineLevel="0" collapsed="false">
      <c r="A3" s="39" t="s">
        <v>55</v>
      </c>
      <c r="B3" s="39"/>
      <c r="C3" s="39"/>
      <c r="D3" s="39"/>
      <c r="E3" s="39"/>
      <c r="F3" s="39"/>
      <c r="G3" s="39"/>
      <c r="H3" s="39"/>
    </row>
    <row r="4" customFormat="false" ht="15.75" hidden="false" customHeight="false" outlineLevel="0" collapsed="false">
      <c r="A4" s="9" t="s">
        <v>92</v>
      </c>
      <c r="B4" s="9" t="n">
        <v>4</v>
      </c>
      <c r="C4" s="88" t="n">
        <v>3300</v>
      </c>
      <c r="D4" s="88" t="n">
        <f aca="false">SUM(B4*C4)</f>
        <v>13200</v>
      </c>
      <c r="E4" s="9" t="n">
        <v>30183.97</v>
      </c>
      <c r="F4" s="12" t="n">
        <f aca="false">SUM(E4/40)</f>
        <v>754.59925</v>
      </c>
      <c r="G4" s="89" t="n">
        <f aca="false">SUM(B4*0.27/E4*F4)</f>
        <v>0.027</v>
      </c>
      <c r="H4" s="12" t="n">
        <f aca="false">SUM(C4*G4)</f>
        <v>89.1</v>
      </c>
    </row>
    <row r="5" customFormat="false" ht="15.75" hidden="false" customHeight="false" outlineLevel="0" collapsed="false">
      <c r="A5" s="9" t="s">
        <v>93</v>
      </c>
      <c r="B5" s="9" t="n">
        <v>12</v>
      </c>
      <c r="C5" s="88" t="n">
        <v>1102.3</v>
      </c>
      <c r="D5" s="88" t="n">
        <f aca="false">SUM(B5*C5)</f>
        <v>13227.6</v>
      </c>
      <c r="E5" s="9" t="n">
        <v>30183.97</v>
      </c>
      <c r="F5" s="12" t="n">
        <f aca="false">SUM(E5/40)</f>
        <v>754.59925</v>
      </c>
      <c r="G5" s="89" t="n">
        <f aca="false">SUM(B5*0.27/E5*F5)</f>
        <v>0.081</v>
      </c>
      <c r="H5" s="12" t="n">
        <f aca="false">SUM(C5*G5)</f>
        <v>89.2863</v>
      </c>
    </row>
    <row r="6" customFormat="false" ht="15.75" hidden="false" customHeight="false" outlineLevel="0" collapsed="false">
      <c r="A6" s="9" t="s">
        <v>94</v>
      </c>
      <c r="B6" s="9" t="n">
        <v>12</v>
      </c>
      <c r="C6" s="88" t="n">
        <v>177.59</v>
      </c>
      <c r="D6" s="88" t="n">
        <f aca="false">SUM(B6*C6)</f>
        <v>2131.08</v>
      </c>
      <c r="E6" s="9" t="n">
        <v>30183.97</v>
      </c>
      <c r="F6" s="12" t="n">
        <f aca="false">SUM(E6/40)</f>
        <v>754.59925</v>
      </c>
      <c r="G6" s="89" t="n">
        <f aca="false">SUM(B6*0.27/E6*F6)</f>
        <v>0.081</v>
      </c>
      <c r="H6" s="12" t="n">
        <f aca="false">SUM(C6*G6)</f>
        <v>14.38479</v>
      </c>
    </row>
    <row r="7" customFormat="false" ht="47.25" hidden="false" customHeight="false" outlineLevel="0" collapsed="false">
      <c r="A7" s="4" t="s">
        <v>95</v>
      </c>
      <c r="B7" s="9" t="n">
        <v>2</v>
      </c>
      <c r="C7" s="88" t="n">
        <v>10000</v>
      </c>
      <c r="D7" s="88" t="n">
        <f aca="false">SUM(B7*C7)</f>
        <v>20000</v>
      </c>
      <c r="E7" s="9" t="n">
        <v>30183.97</v>
      </c>
      <c r="F7" s="12" t="n">
        <f aca="false">SUM(E7/40)</f>
        <v>754.59925</v>
      </c>
      <c r="G7" s="89" t="n">
        <f aca="false">SUM(B7*0.27/E7*F7)</f>
        <v>0.0135</v>
      </c>
      <c r="H7" s="12" t="n">
        <f aca="false">SUM(C7*G7)</f>
        <v>135</v>
      </c>
    </row>
    <row r="8" customFormat="false" ht="47.25" hidden="false" customHeight="false" outlineLevel="0" collapsed="false">
      <c r="A8" s="4" t="s">
        <v>96</v>
      </c>
      <c r="B8" s="9" t="n">
        <v>1</v>
      </c>
      <c r="C8" s="88" t="n">
        <v>25000</v>
      </c>
      <c r="D8" s="88" t="n">
        <f aca="false">SUM(B8*C8)</f>
        <v>25000</v>
      </c>
      <c r="E8" s="9" t="n">
        <v>30183.97</v>
      </c>
      <c r="F8" s="12" t="n">
        <f aca="false">SUM(E8/40)</f>
        <v>754.59925</v>
      </c>
      <c r="G8" s="89" t="n">
        <f aca="false">SUM(B8*0.27/E8*F8)</f>
        <v>0.00675</v>
      </c>
      <c r="H8" s="12" t="n">
        <f aca="false">SUM(C8*G8)</f>
        <v>168.75</v>
      </c>
    </row>
    <row r="9" customFormat="false" ht="47.25" hidden="false" customHeight="false" outlineLevel="0" collapsed="false">
      <c r="A9" s="4" t="s">
        <v>97</v>
      </c>
      <c r="B9" s="9" t="n">
        <v>1</v>
      </c>
      <c r="C9" s="88" t="n">
        <v>50000</v>
      </c>
      <c r="D9" s="88" t="n">
        <f aca="false">SUM(B9*C9)</f>
        <v>50000</v>
      </c>
      <c r="E9" s="9" t="n">
        <v>30183.97</v>
      </c>
      <c r="F9" s="12" t="n">
        <f aca="false">SUM(E9/40)</f>
        <v>754.59925</v>
      </c>
      <c r="G9" s="89" t="n">
        <f aca="false">SUM(B9*0.27/E9*F9)</f>
        <v>0.00675</v>
      </c>
      <c r="H9" s="12" t="n">
        <f aca="false">SUM(C9*G9)</f>
        <v>337.5</v>
      </c>
    </row>
    <row r="10" customFormat="false" ht="31.5" hidden="false" customHeight="false" outlineLevel="0" collapsed="false">
      <c r="A10" s="4" t="s">
        <v>98</v>
      </c>
      <c r="B10" s="9" t="n">
        <v>1</v>
      </c>
      <c r="C10" s="88" t="n">
        <v>30000</v>
      </c>
      <c r="D10" s="88" t="n">
        <f aca="false">SUM(B10*C10)</f>
        <v>30000</v>
      </c>
      <c r="E10" s="9" t="n">
        <v>30183.97</v>
      </c>
      <c r="F10" s="12" t="n">
        <f aca="false">SUM(E10/40)</f>
        <v>754.59925</v>
      </c>
      <c r="G10" s="89" t="n">
        <f aca="false">SUM(B10*0.27/E10*F10)</f>
        <v>0.00675</v>
      </c>
      <c r="H10" s="12" t="n">
        <f aca="false">SUM(C10*G10)</f>
        <v>202.5</v>
      </c>
    </row>
    <row r="11" customFormat="false" ht="31.5" hidden="false" customHeight="false" outlineLevel="0" collapsed="false">
      <c r="A11" s="4" t="s">
        <v>99</v>
      </c>
      <c r="B11" s="9" t="n">
        <v>12</v>
      </c>
      <c r="C11" s="88" t="n">
        <v>2730</v>
      </c>
      <c r="D11" s="88" t="n">
        <f aca="false">SUM(B11*C11)</f>
        <v>32760</v>
      </c>
      <c r="E11" s="9" t="n">
        <v>30183.97</v>
      </c>
      <c r="F11" s="12" t="n">
        <f aca="false">SUM(E11/40)</f>
        <v>754.59925</v>
      </c>
      <c r="G11" s="89" t="n">
        <f aca="false">SUM(B11*0.27/E11*F11)</f>
        <v>0.081</v>
      </c>
      <c r="H11" s="12" t="n">
        <f aca="false">SUM(C11*G11)</f>
        <v>221.13</v>
      </c>
    </row>
    <row r="12" customFormat="false" ht="31.5" hidden="false" customHeight="false" outlineLevel="0" collapsed="false">
      <c r="A12" s="4" t="s">
        <v>100</v>
      </c>
      <c r="B12" s="9" t="n">
        <v>1</v>
      </c>
      <c r="C12" s="88" t="n">
        <v>10234</v>
      </c>
      <c r="D12" s="88" t="n">
        <f aca="false">SUM(B12*C12)</f>
        <v>10234</v>
      </c>
      <c r="E12" s="9" t="n">
        <v>30183.97</v>
      </c>
      <c r="F12" s="12" t="n">
        <f aca="false">SUM(E12/40)</f>
        <v>754.59925</v>
      </c>
      <c r="G12" s="89" t="n">
        <f aca="false">SUM(B12*0.27/E12*F12)</f>
        <v>0.00675</v>
      </c>
      <c r="H12" s="12" t="n">
        <f aca="false">SUM(C12*G12)</f>
        <v>69.0795</v>
      </c>
    </row>
    <row r="13" customFormat="false" ht="31.5" hidden="false" customHeight="false" outlineLevel="0" collapsed="false">
      <c r="A13" s="4" t="s">
        <v>101</v>
      </c>
      <c r="B13" s="9" t="n">
        <v>12</v>
      </c>
      <c r="C13" s="88" t="n">
        <v>1376</v>
      </c>
      <c r="D13" s="88" t="n">
        <f aca="false">SUM(B13*C13)</f>
        <v>16512</v>
      </c>
      <c r="E13" s="9" t="n">
        <v>30183.97</v>
      </c>
      <c r="F13" s="12" t="n">
        <f aca="false">SUM(E13/40)</f>
        <v>754.59925</v>
      </c>
      <c r="G13" s="89" t="n">
        <f aca="false">SUM(B13*0.27/E13*F13)</f>
        <v>0.081</v>
      </c>
      <c r="H13" s="12" t="n">
        <f aca="false">SUM(C13*G13)</f>
        <v>111.456</v>
      </c>
    </row>
    <row r="14" customFormat="false" ht="15.75" hidden="false" customHeight="false" outlineLevel="0" collapsed="false">
      <c r="A14" s="4"/>
      <c r="B14" s="9"/>
      <c r="C14" s="88"/>
      <c r="D14" s="88"/>
      <c r="E14" s="9"/>
      <c r="F14" s="12"/>
      <c r="G14" s="89"/>
      <c r="H14" s="12"/>
    </row>
    <row r="15" customFormat="false" ht="15.75" hidden="false" customHeight="false" outlineLevel="0" collapsed="false">
      <c r="A15" s="4"/>
      <c r="B15" s="9"/>
      <c r="C15" s="88"/>
      <c r="D15" s="88" t="n">
        <f aca="false">SUM(B15*C15)</f>
        <v>0</v>
      </c>
      <c r="E15" s="9"/>
      <c r="F15" s="12"/>
      <c r="G15" s="89"/>
      <c r="H15" s="12"/>
    </row>
    <row r="16" customFormat="false" ht="15.75" hidden="false" customHeight="false" outlineLevel="0" collapsed="false">
      <c r="A16" s="4" t="s">
        <v>102</v>
      </c>
      <c r="B16" s="9" t="n">
        <v>1</v>
      </c>
      <c r="C16" s="88" t="n">
        <v>5000</v>
      </c>
      <c r="D16" s="88" t="n">
        <f aca="false">SUM(B16*C16)</f>
        <v>5000</v>
      </c>
      <c r="E16" s="9" t="n">
        <v>30183.97</v>
      </c>
      <c r="F16" s="12" t="n">
        <f aca="false">SUM(E16/40)</f>
        <v>754.59925</v>
      </c>
      <c r="G16" s="89" t="n">
        <f aca="false">SUM(B16*0.27/E16*F16)</f>
        <v>0.00675</v>
      </c>
      <c r="H16" s="12" t="n">
        <f aca="false">SUM(C16*G16)</f>
        <v>33.75</v>
      </c>
    </row>
    <row r="17" customFormat="false" ht="15.75" hidden="false" customHeight="false" outlineLevel="0" collapsed="false">
      <c r="A17" s="4" t="s">
        <v>103</v>
      </c>
      <c r="B17" s="9" t="n">
        <v>1</v>
      </c>
      <c r="C17" s="88" t="n">
        <v>5040</v>
      </c>
      <c r="D17" s="88" t="n">
        <f aca="false">SUM(B17*C17)</f>
        <v>5040</v>
      </c>
      <c r="E17" s="9" t="n">
        <v>30183.97</v>
      </c>
      <c r="F17" s="12" t="n">
        <f aca="false">SUM(E17/40)</f>
        <v>754.59925</v>
      </c>
      <c r="G17" s="89" t="n">
        <f aca="false">SUM(B17*0.27/E17*F17)</f>
        <v>0.00675</v>
      </c>
      <c r="H17" s="12" t="n">
        <f aca="false">SUM(C17*G17)</f>
        <v>34.02</v>
      </c>
    </row>
    <row r="18" customFormat="false" ht="15.75" hidden="false" customHeight="true" outlineLevel="0" collapsed="false">
      <c r="A18" s="90" t="s">
        <v>104</v>
      </c>
      <c r="B18" s="90"/>
      <c r="C18" s="90"/>
      <c r="D18" s="90"/>
      <c r="E18" s="90"/>
      <c r="F18" s="90"/>
      <c r="G18" s="90"/>
      <c r="H18" s="44" t="n">
        <f aca="false">SUM(H4:H17)</f>
        <v>1505.95659</v>
      </c>
    </row>
    <row r="19" customFormat="false" ht="15.75" hidden="false" customHeight="false" outlineLevel="0" collapsed="false">
      <c r="A19" s="36"/>
      <c r="B19" s="36"/>
      <c r="C19" s="36"/>
      <c r="D19" s="36"/>
      <c r="E19" s="36"/>
      <c r="F19" s="36"/>
      <c r="G19" s="36"/>
      <c r="H19" s="91"/>
    </row>
    <row r="20" customFormat="false" ht="31.5" hidden="false" customHeight="true" outlineLevel="0" collapsed="false">
      <c r="A20" s="39" t="s">
        <v>63</v>
      </c>
      <c r="B20" s="39"/>
      <c r="C20" s="39"/>
      <c r="D20" s="39"/>
      <c r="E20" s="39"/>
      <c r="F20" s="39"/>
      <c r="G20" s="39"/>
      <c r="H20" s="39"/>
    </row>
    <row r="21" customFormat="false" ht="15.75" hidden="false" customHeight="false" outlineLevel="0" collapsed="false">
      <c r="A21" s="9"/>
      <c r="B21" s="9"/>
      <c r="C21" s="88"/>
      <c r="D21" s="88" t="n">
        <f aca="false">SUM(B21*C21)</f>
        <v>0</v>
      </c>
      <c r="E21" s="9"/>
      <c r="F21" s="9"/>
      <c r="G21" s="89"/>
      <c r="H21" s="12"/>
    </row>
    <row r="22" customFormat="false" ht="15.75" hidden="false" customHeight="false" outlineLevel="0" collapsed="false">
      <c r="A22" s="4"/>
      <c r="B22" s="9"/>
      <c r="C22" s="88"/>
      <c r="D22" s="88" t="n">
        <f aca="false">SUM(B22*C22)</f>
        <v>0</v>
      </c>
      <c r="E22" s="9"/>
      <c r="F22" s="9"/>
      <c r="G22" s="89"/>
      <c r="H22" s="12"/>
    </row>
    <row r="23" customFormat="false" ht="15.75" hidden="false" customHeight="false" outlineLevel="0" collapsed="false">
      <c r="A23" s="9" t="s">
        <v>92</v>
      </c>
      <c r="B23" s="9" t="n">
        <v>4</v>
      </c>
      <c r="C23" s="88" t="n">
        <v>3300</v>
      </c>
      <c r="D23" s="88" t="n">
        <f aca="false">SUM(B23*C23)</f>
        <v>13200</v>
      </c>
      <c r="E23" s="9" t="n">
        <v>30183.97</v>
      </c>
      <c r="F23" s="12" t="n">
        <f aca="false">SUM(E23/30)</f>
        <v>1006.13233333333</v>
      </c>
      <c r="G23" s="89" t="n">
        <f aca="false">SUM(B23*0.2/E23*F23)</f>
        <v>0.0266666666666667</v>
      </c>
      <c r="H23" s="12" t="n">
        <f aca="false">SUM(C23*G23)</f>
        <v>88</v>
      </c>
    </row>
    <row r="24" customFormat="false" ht="15.75" hidden="false" customHeight="false" outlineLevel="0" collapsed="false">
      <c r="A24" s="9" t="s">
        <v>93</v>
      </c>
      <c r="B24" s="9" t="n">
        <v>12</v>
      </c>
      <c r="C24" s="88" t="n">
        <v>1102.3</v>
      </c>
      <c r="D24" s="88" t="n">
        <f aca="false">SUM(B24*C24)</f>
        <v>13227.6</v>
      </c>
      <c r="E24" s="9" t="n">
        <v>30183.97</v>
      </c>
      <c r="F24" s="12" t="n">
        <f aca="false">SUM(E24/30)</f>
        <v>1006.13233333333</v>
      </c>
      <c r="G24" s="89" t="n">
        <f aca="false">SUM(B24*0.2/E24*F24)</f>
        <v>0.08</v>
      </c>
      <c r="H24" s="12" t="n">
        <f aca="false">SUM(C24*G24)</f>
        <v>88.184</v>
      </c>
    </row>
    <row r="25" customFormat="false" ht="15.75" hidden="false" customHeight="false" outlineLevel="0" collapsed="false">
      <c r="A25" s="9" t="s">
        <v>94</v>
      </c>
      <c r="B25" s="9" t="n">
        <v>12</v>
      </c>
      <c r="C25" s="88" t="n">
        <v>177.59</v>
      </c>
      <c r="D25" s="88" t="n">
        <f aca="false">SUM(B25*C25)</f>
        <v>2131.08</v>
      </c>
      <c r="E25" s="9" t="n">
        <v>30183.97</v>
      </c>
      <c r="F25" s="12" t="n">
        <f aca="false">SUM(E25/30)</f>
        <v>1006.13233333333</v>
      </c>
      <c r="G25" s="89" t="n">
        <f aca="false">SUM(B25*0.2/E25*F25)</f>
        <v>0.08</v>
      </c>
      <c r="H25" s="12" t="n">
        <f aca="false">SUM(C25*G25)</f>
        <v>14.2072</v>
      </c>
    </row>
    <row r="26" customFormat="false" ht="47.25" hidden="false" customHeight="false" outlineLevel="0" collapsed="false">
      <c r="A26" s="4" t="s">
        <v>95</v>
      </c>
      <c r="B26" s="9" t="n">
        <v>2</v>
      </c>
      <c r="C26" s="88" t="n">
        <v>10000</v>
      </c>
      <c r="D26" s="88" t="n">
        <f aca="false">SUM(B26*C26)</f>
        <v>20000</v>
      </c>
      <c r="E26" s="9" t="n">
        <v>30183.97</v>
      </c>
      <c r="F26" s="12" t="n">
        <f aca="false">SUM(E26/30)</f>
        <v>1006.13233333333</v>
      </c>
      <c r="G26" s="89" t="n">
        <f aca="false">SUM(B26*0.2/E26*F26)</f>
        <v>0.0133333333333333</v>
      </c>
      <c r="H26" s="12" t="n">
        <f aca="false">SUM(C26*G26)</f>
        <v>133.333333333333</v>
      </c>
    </row>
    <row r="27" customFormat="false" ht="47.25" hidden="false" customHeight="false" outlineLevel="0" collapsed="false">
      <c r="A27" s="4" t="s">
        <v>96</v>
      </c>
      <c r="B27" s="9" t="n">
        <v>1</v>
      </c>
      <c r="C27" s="88" t="n">
        <v>25000</v>
      </c>
      <c r="D27" s="88" t="n">
        <f aca="false">SUM(B27*C27)</f>
        <v>25000</v>
      </c>
      <c r="E27" s="9" t="n">
        <v>30183.97</v>
      </c>
      <c r="F27" s="12" t="n">
        <f aca="false">SUM(E27/30)</f>
        <v>1006.13233333333</v>
      </c>
      <c r="G27" s="89" t="n">
        <f aca="false">SUM(B27*0.2/E27*F27)</f>
        <v>0.00666666666666667</v>
      </c>
      <c r="H27" s="12" t="n">
        <f aca="false">SUM(C27*G27)</f>
        <v>166.666666666667</v>
      </c>
    </row>
    <row r="28" customFormat="false" ht="47.25" hidden="false" customHeight="false" outlineLevel="0" collapsed="false">
      <c r="A28" s="4" t="s">
        <v>97</v>
      </c>
      <c r="B28" s="9" t="n">
        <v>1</v>
      </c>
      <c r="C28" s="88" t="n">
        <v>50000</v>
      </c>
      <c r="D28" s="88" t="n">
        <f aca="false">SUM(B28*C28)</f>
        <v>50000</v>
      </c>
      <c r="E28" s="9" t="n">
        <v>30183.97</v>
      </c>
      <c r="F28" s="12" t="n">
        <f aca="false">SUM(E28/30)</f>
        <v>1006.13233333333</v>
      </c>
      <c r="G28" s="89" t="n">
        <f aca="false">SUM(B28*0.2/E28*F28)</f>
        <v>0.00666666666666667</v>
      </c>
      <c r="H28" s="12" t="n">
        <f aca="false">SUM(C28*G28)</f>
        <v>333.333333333333</v>
      </c>
    </row>
    <row r="29" customFormat="false" ht="31.5" hidden="false" customHeight="false" outlineLevel="0" collapsed="false">
      <c r="A29" s="4" t="s">
        <v>98</v>
      </c>
      <c r="B29" s="9" t="n">
        <v>1</v>
      </c>
      <c r="C29" s="88" t="n">
        <v>30000</v>
      </c>
      <c r="D29" s="88" t="n">
        <f aca="false">SUM(B29*C29)</f>
        <v>30000</v>
      </c>
      <c r="E29" s="9" t="n">
        <v>30183.97</v>
      </c>
      <c r="F29" s="12" t="n">
        <f aca="false">SUM(E29/30)</f>
        <v>1006.13233333333</v>
      </c>
      <c r="G29" s="89" t="n">
        <f aca="false">SUM(B29*0.2/E29*F29)</f>
        <v>0.00666666666666667</v>
      </c>
      <c r="H29" s="12" t="n">
        <f aca="false">SUM(C29*G29)</f>
        <v>200</v>
      </c>
    </row>
    <row r="30" customFormat="false" ht="31.5" hidden="false" customHeight="false" outlineLevel="0" collapsed="false">
      <c r="A30" s="4" t="s">
        <v>99</v>
      </c>
      <c r="B30" s="9" t="n">
        <v>12</v>
      </c>
      <c r="C30" s="88" t="n">
        <v>2730</v>
      </c>
      <c r="D30" s="88" t="n">
        <f aca="false">SUM(B30*C30)</f>
        <v>32760</v>
      </c>
      <c r="E30" s="9" t="n">
        <v>30183.97</v>
      </c>
      <c r="F30" s="12" t="n">
        <f aca="false">SUM(E30/30)</f>
        <v>1006.13233333333</v>
      </c>
      <c r="G30" s="89" t="n">
        <f aca="false">SUM(B30*0.2/E30*F30)</f>
        <v>0.08</v>
      </c>
      <c r="H30" s="12" t="n">
        <f aca="false">SUM(C30*G30)</f>
        <v>218.4</v>
      </c>
    </row>
    <row r="31" customFormat="false" ht="31.5" hidden="false" customHeight="false" outlineLevel="0" collapsed="false">
      <c r="A31" s="4" t="s">
        <v>100</v>
      </c>
      <c r="B31" s="9" t="n">
        <v>1</v>
      </c>
      <c r="C31" s="88" t="n">
        <v>10234</v>
      </c>
      <c r="D31" s="88" t="n">
        <f aca="false">SUM(B31*C31)</f>
        <v>10234</v>
      </c>
      <c r="E31" s="9" t="n">
        <v>30183.97</v>
      </c>
      <c r="F31" s="12" t="n">
        <f aca="false">SUM(E31/30)</f>
        <v>1006.13233333333</v>
      </c>
      <c r="G31" s="89" t="n">
        <f aca="false">SUM(B31*0.2/E31*F31)</f>
        <v>0.00666666666666667</v>
      </c>
      <c r="H31" s="12" t="n">
        <f aca="false">SUM(C31*G31)</f>
        <v>68.2266666666667</v>
      </c>
    </row>
    <row r="32" customFormat="false" ht="31.5" hidden="false" customHeight="false" outlineLevel="0" collapsed="false">
      <c r="A32" s="4" t="s">
        <v>101</v>
      </c>
      <c r="B32" s="9" t="n">
        <v>12</v>
      </c>
      <c r="C32" s="88" t="n">
        <v>1376</v>
      </c>
      <c r="D32" s="88" t="n">
        <f aca="false">SUM(B32*C32)</f>
        <v>16512</v>
      </c>
      <c r="E32" s="9" t="n">
        <v>30183.97</v>
      </c>
      <c r="F32" s="12" t="n">
        <f aca="false">SUM(E32/30)</f>
        <v>1006.13233333333</v>
      </c>
      <c r="G32" s="89" t="n">
        <f aca="false">SUM(B32*0.2/E32*F32)</f>
        <v>0.08</v>
      </c>
      <c r="H32" s="12" t="n">
        <f aca="false">SUM(C32*G32)</f>
        <v>110.08</v>
      </c>
    </row>
    <row r="33" customFormat="false" ht="15.75" hidden="false" customHeight="false" outlineLevel="0" collapsed="false">
      <c r="A33" s="4"/>
      <c r="B33" s="9"/>
      <c r="C33" s="88"/>
      <c r="D33" s="88"/>
      <c r="E33" s="9"/>
      <c r="F33" s="12"/>
      <c r="G33" s="89"/>
      <c r="H33" s="12"/>
    </row>
    <row r="34" customFormat="false" ht="15.75" hidden="false" customHeight="false" outlineLevel="0" collapsed="false">
      <c r="A34" s="4"/>
      <c r="B34" s="9"/>
      <c r="C34" s="88"/>
      <c r="D34" s="88" t="n">
        <f aca="false">SUM(B34*C34)</f>
        <v>0</v>
      </c>
      <c r="E34" s="9"/>
      <c r="F34" s="12"/>
      <c r="G34" s="89"/>
      <c r="H34" s="12"/>
    </row>
    <row r="35" customFormat="false" ht="15.75" hidden="false" customHeight="false" outlineLevel="0" collapsed="false">
      <c r="A35" s="4" t="s">
        <v>102</v>
      </c>
      <c r="B35" s="9" t="n">
        <v>1</v>
      </c>
      <c r="C35" s="88" t="n">
        <v>5000</v>
      </c>
      <c r="D35" s="88" t="n">
        <f aca="false">SUM(B35*C35)</f>
        <v>5000</v>
      </c>
      <c r="E35" s="9" t="n">
        <v>30183.97</v>
      </c>
      <c r="F35" s="12" t="n">
        <f aca="false">SUM(E35/30)</f>
        <v>1006.13233333333</v>
      </c>
      <c r="G35" s="89" t="n">
        <f aca="false">SUM(B35*0.2/E35*F35)</f>
        <v>0.00666666666666667</v>
      </c>
      <c r="H35" s="12" t="n">
        <f aca="false">SUM(C35*G35)</f>
        <v>33.3333333333333</v>
      </c>
    </row>
    <row r="36" customFormat="false" ht="15.75" hidden="false" customHeight="false" outlineLevel="0" collapsed="false">
      <c r="A36" s="4" t="s">
        <v>103</v>
      </c>
      <c r="B36" s="9" t="n">
        <v>1</v>
      </c>
      <c r="C36" s="88" t="n">
        <v>5040</v>
      </c>
      <c r="D36" s="88" t="n">
        <f aca="false">SUM(B36*C36)</f>
        <v>5040</v>
      </c>
      <c r="E36" s="9" t="n">
        <v>30183.97</v>
      </c>
      <c r="F36" s="12" t="n">
        <f aca="false">SUM(E36/30)</f>
        <v>1006.13233333333</v>
      </c>
      <c r="G36" s="89" t="n">
        <f aca="false">SUM(B36*0.2/E36*F36)</f>
        <v>0.00666666666666667</v>
      </c>
      <c r="H36" s="12" t="n">
        <f aca="false">SUM(C36*G36)</f>
        <v>33.6</v>
      </c>
    </row>
    <row r="37" customFormat="false" ht="15.75" hidden="false" customHeight="true" outlineLevel="0" collapsed="false">
      <c r="A37" s="90" t="s">
        <v>104</v>
      </c>
      <c r="B37" s="90"/>
      <c r="C37" s="90"/>
      <c r="D37" s="90"/>
      <c r="E37" s="90"/>
      <c r="F37" s="90"/>
      <c r="G37" s="90"/>
      <c r="H37" s="44" t="n">
        <f aca="false">SUM(H21:H36)</f>
        <v>1487.36453333333</v>
      </c>
    </row>
    <row r="38" customFormat="false" ht="15.75" hidden="false" customHeight="false" outlineLevel="0" collapsed="false">
      <c r="A38" s="36"/>
      <c r="B38" s="36"/>
      <c r="C38" s="36"/>
      <c r="D38" s="36"/>
      <c r="E38" s="36"/>
      <c r="F38" s="36"/>
      <c r="G38" s="36"/>
      <c r="H38" s="91"/>
    </row>
    <row r="39" customFormat="false" ht="33" hidden="false" customHeight="true" outlineLevel="0" collapsed="false">
      <c r="A39" s="39" t="s">
        <v>64</v>
      </c>
      <c r="B39" s="39"/>
      <c r="C39" s="39"/>
      <c r="D39" s="39"/>
      <c r="E39" s="39"/>
      <c r="F39" s="39"/>
      <c r="G39" s="39"/>
      <c r="H39" s="39"/>
    </row>
    <row r="40" customFormat="false" ht="15.75" hidden="false" customHeight="false" outlineLevel="0" collapsed="false">
      <c r="A40" s="9"/>
      <c r="B40" s="9"/>
      <c r="C40" s="88"/>
      <c r="D40" s="88" t="n">
        <f aca="false">SUM(B40*C40)</f>
        <v>0</v>
      </c>
      <c r="E40" s="9"/>
      <c r="F40" s="9"/>
      <c r="G40" s="89"/>
      <c r="H40" s="12"/>
    </row>
    <row r="41" customFormat="false" ht="15.75" hidden="false" customHeight="false" outlineLevel="0" collapsed="false">
      <c r="A41" s="4"/>
      <c r="B41" s="9"/>
      <c r="C41" s="88"/>
      <c r="D41" s="88" t="n">
        <f aca="false">SUM(B41*C41)</f>
        <v>0</v>
      </c>
      <c r="E41" s="9"/>
      <c r="F41" s="9"/>
      <c r="G41" s="89"/>
      <c r="H41" s="12"/>
    </row>
    <row r="42" customFormat="false" ht="15.75" hidden="false" customHeight="false" outlineLevel="0" collapsed="false">
      <c r="A42" s="9" t="s">
        <v>92</v>
      </c>
      <c r="B42" s="9" t="n">
        <v>4</v>
      </c>
      <c r="C42" s="88" t="n">
        <v>3300</v>
      </c>
      <c r="D42" s="88" t="n">
        <f aca="false">SUM(B42*C42)</f>
        <v>13200</v>
      </c>
      <c r="E42" s="9" t="n">
        <v>30183.97</v>
      </c>
      <c r="F42" s="12" t="n">
        <f aca="false">SUM(E42/4)</f>
        <v>7545.9925</v>
      </c>
      <c r="G42" s="89" t="n">
        <f aca="false">SUM(B42*0.03/E42*F42)</f>
        <v>0.03</v>
      </c>
      <c r="H42" s="12" t="n">
        <f aca="false">SUM(C42*G42)</f>
        <v>99</v>
      </c>
    </row>
    <row r="43" customFormat="false" ht="15.75" hidden="false" customHeight="false" outlineLevel="0" collapsed="false">
      <c r="A43" s="9" t="s">
        <v>93</v>
      </c>
      <c r="B43" s="9" t="n">
        <v>12</v>
      </c>
      <c r="C43" s="88" t="n">
        <v>1102.3</v>
      </c>
      <c r="D43" s="88" t="n">
        <f aca="false">SUM(B43*C43)</f>
        <v>13227.6</v>
      </c>
      <c r="E43" s="9" t="n">
        <v>30183.97</v>
      </c>
      <c r="F43" s="12" t="n">
        <f aca="false">SUM(E43/4)</f>
        <v>7545.9925</v>
      </c>
      <c r="G43" s="89" t="n">
        <f aca="false">SUM(B43*0.03/E43*F43)</f>
        <v>0.09</v>
      </c>
      <c r="H43" s="12" t="n">
        <f aca="false">SUM(C43*G43)</f>
        <v>99.207</v>
      </c>
    </row>
    <row r="44" customFormat="false" ht="15.75" hidden="false" customHeight="false" outlineLevel="0" collapsed="false">
      <c r="A44" s="9" t="s">
        <v>94</v>
      </c>
      <c r="B44" s="9" t="n">
        <v>12</v>
      </c>
      <c r="C44" s="88" t="n">
        <v>177.59</v>
      </c>
      <c r="D44" s="88" t="n">
        <f aca="false">SUM(B44*C44)</f>
        <v>2131.08</v>
      </c>
      <c r="E44" s="9" t="n">
        <v>30183.97</v>
      </c>
      <c r="F44" s="12" t="n">
        <f aca="false">SUM(E44/4)</f>
        <v>7545.9925</v>
      </c>
      <c r="G44" s="89" t="n">
        <f aca="false">SUM(B44*0.03/E44*F44)</f>
        <v>0.09</v>
      </c>
      <c r="H44" s="12" t="n">
        <f aca="false">SUM(C44*G44)</f>
        <v>15.9831</v>
      </c>
    </row>
    <row r="45" customFormat="false" ht="47.25" hidden="false" customHeight="false" outlineLevel="0" collapsed="false">
      <c r="A45" s="4" t="s">
        <v>95</v>
      </c>
      <c r="B45" s="9" t="n">
        <v>2</v>
      </c>
      <c r="C45" s="88" t="n">
        <v>10000</v>
      </c>
      <c r="D45" s="88" t="n">
        <f aca="false">SUM(B45*C45)</f>
        <v>20000</v>
      </c>
      <c r="E45" s="9" t="n">
        <v>30183.97</v>
      </c>
      <c r="F45" s="12" t="n">
        <f aca="false">SUM(E45/4)</f>
        <v>7545.9925</v>
      </c>
      <c r="G45" s="89" t="n">
        <f aca="false">SUM(B45*0.03/E45*F45)</f>
        <v>0.015</v>
      </c>
      <c r="H45" s="12" t="n">
        <f aca="false">SUM(C45*G45)</f>
        <v>150</v>
      </c>
    </row>
    <row r="46" customFormat="false" ht="47.25" hidden="false" customHeight="false" outlineLevel="0" collapsed="false">
      <c r="A46" s="4" t="s">
        <v>96</v>
      </c>
      <c r="B46" s="9" t="n">
        <v>1</v>
      </c>
      <c r="C46" s="88" t="n">
        <v>25000</v>
      </c>
      <c r="D46" s="88" t="n">
        <f aca="false">SUM(B46*C46)</f>
        <v>25000</v>
      </c>
      <c r="E46" s="9" t="n">
        <v>30183.97</v>
      </c>
      <c r="F46" s="12" t="n">
        <f aca="false">SUM(E46/4)</f>
        <v>7545.9925</v>
      </c>
      <c r="G46" s="89" t="n">
        <f aca="false">SUM(B46*0.03/E46*F46)</f>
        <v>0.0075</v>
      </c>
      <c r="H46" s="12" t="n">
        <f aca="false">SUM(C46*G46)</f>
        <v>187.5</v>
      </c>
    </row>
    <row r="47" customFormat="false" ht="47.25" hidden="false" customHeight="false" outlineLevel="0" collapsed="false">
      <c r="A47" s="4" t="s">
        <v>97</v>
      </c>
      <c r="B47" s="9" t="n">
        <v>1</v>
      </c>
      <c r="C47" s="88" t="n">
        <v>50000</v>
      </c>
      <c r="D47" s="88" t="n">
        <f aca="false">SUM(B47*C47)</f>
        <v>50000</v>
      </c>
      <c r="E47" s="9" t="n">
        <v>30183.97</v>
      </c>
      <c r="F47" s="12" t="n">
        <f aca="false">SUM(E47/4)</f>
        <v>7545.9925</v>
      </c>
      <c r="G47" s="89" t="n">
        <f aca="false">SUM(B47*0.03/E47*F47)</f>
        <v>0.0075</v>
      </c>
      <c r="H47" s="12" t="n">
        <f aca="false">SUM(C47*G47)</f>
        <v>375</v>
      </c>
    </row>
    <row r="48" customFormat="false" ht="31.5" hidden="false" customHeight="false" outlineLevel="0" collapsed="false">
      <c r="A48" s="4" t="s">
        <v>98</v>
      </c>
      <c r="B48" s="9" t="n">
        <v>1</v>
      </c>
      <c r="C48" s="88" t="n">
        <v>30000</v>
      </c>
      <c r="D48" s="88" t="n">
        <f aca="false">SUM(B48*C48)</f>
        <v>30000</v>
      </c>
      <c r="E48" s="9" t="n">
        <v>30183.97</v>
      </c>
      <c r="F48" s="12" t="n">
        <f aca="false">SUM(E48/4)</f>
        <v>7545.9925</v>
      </c>
      <c r="G48" s="89" t="n">
        <f aca="false">SUM(B48*0.03/E48*F48)</f>
        <v>0.0075</v>
      </c>
      <c r="H48" s="12" t="n">
        <f aca="false">SUM(C48*G48)</f>
        <v>225</v>
      </c>
    </row>
    <row r="49" customFormat="false" ht="31.5" hidden="false" customHeight="false" outlineLevel="0" collapsed="false">
      <c r="A49" s="4" t="s">
        <v>99</v>
      </c>
      <c r="B49" s="9" t="n">
        <v>12</v>
      </c>
      <c r="C49" s="88" t="n">
        <v>2730</v>
      </c>
      <c r="D49" s="88" t="n">
        <f aca="false">SUM(B49*C49)</f>
        <v>32760</v>
      </c>
      <c r="E49" s="9" t="n">
        <v>30183.97</v>
      </c>
      <c r="F49" s="12" t="n">
        <f aca="false">SUM(E49/4)</f>
        <v>7545.9925</v>
      </c>
      <c r="G49" s="89" t="n">
        <f aca="false">SUM(B49*0.03/E49*F49)</f>
        <v>0.09</v>
      </c>
      <c r="H49" s="12" t="n">
        <f aca="false">SUM(C49*G49)</f>
        <v>245.7</v>
      </c>
    </row>
    <row r="50" customFormat="false" ht="31.5" hidden="false" customHeight="false" outlineLevel="0" collapsed="false">
      <c r="A50" s="4" t="s">
        <v>100</v>
      </c>
      <c r="B50" s="9" t="n">
        <v>1</v>
      </c>
      <c r="C50" s="88" t="n">
        <v>10234</v>
      </c>
      <c r="D50" s="88" t="n">
        <f aca="false">SUM(B50*C50)</f>
        <v>10234</v>
      </c>
      <c r="E50" s="9" t="n">
        <v>30183.97</v>
      </c>
      <c r="F50" s="12" t="n">
        <f aca="false">SUM(E50/4)</f>
        <v>7545.9925</v>
      </c>
      <c r="G50" s="89" t="n">
        <f aca="false">SUM(B50*0.03/E50*F50)</f>
        <v>0.0075</v>
      </c>
      <c r="H50" s="12" t="n">
        <f aca="false">SUM(C50*G50)</f>
        <v>76.755</v>
      </c>
    </row>
    <row r="51" customFormat="false" ht="31.5" hidden="false" customHeight="false" outlineLevel="0" collapsed="false">
      <c r="A51" s="4" t="s">
        <v>101</v>
      </c>
      <c r="B51" s="9" t="n">
        <v>12</v>
      </c>
      <c r="C51" s="88" t="n">
        <v>1376</v>
      </c>
      <c r="D51" s="88" t="n">
        <f aca="false">SUM(B51*C51)</f>
        <v>16512</v>
      </c>
      <c r="E51" s="9" t="n">
        <v>30183.97</v>
      </c>
      <c r="F51" s="12" t="n">
        <f aca="false">SUM(E51/4)</f>
        <v>7545.9925</v>
      </c>
      <c r="G51" s="89" t="n">
        <f aca="false">SUM(B51*0.03/E51*F51)</f>
        <v>0.09</v>
      </c>
      <c r="H51" s="12" t="n">
        <f aca="false">SUM(C51*G51)</f>
        <v>123.84</v>
      </c>
    </row>
    <row r="52" customFormat="false" ht="15.75" hidden="false" customHeight="false" outlineLevel="0" collapsed="false">
      <c r="A52" s="4"/>
      <c r="B52" s="9"/>
      <c r="C52" s="88"/>
      <c r="D52" s="88"/>
      <c r="E52" s="9"/>
      <c r="F52" s="12" t="n">
        <f aca="false">SUM(E52/4)</f>
        <v>0</v>
      </c>
      <c r="G52" s="89"/>
      <c r="H52" s="12"/>
    </row>
    <row r="53" customFormat="false" ht="15.75" hidden="false" customHeight="false" outlineLevel="0" collapsed="false">
      <c r="A53" s="4"/>
      <c r="B53" s="9"/>
      <c r="C53" s="88"/>
      <c r="D53" s="88" t="n">
        <f aca="false">SUM(B53*C53)</f>
        <v>0</v>
      </c>
      <c r="E53" s="9"/>
      <c r="F53" s="12" t="n">
        <f aca="false">SUM(E53/4)</f>
        <v>0</v>
      </c>
      <c r="G53" s="89"/>
      <c r="H53" s="12"/>
    </row>
    <row r="54" customFormat="false" ht="15.75" hidden="false" customHeight="false" outlineLevel="0" collapsed="false">
      <c r="A54" s="4" t="s">
        <v>102</v>
      </c>
      <c r="B54" s="9" t="n">
        <v>1</v>
      </c>
      <c r="C54" s="88" t="n">
        <v>5000</v>
      </c>
      <c r="D54" s="88" t="n">
        <f aca="false">SUM(B54*C54)</f>
        <v>5000</v>
      </c>
      <c r="E54" s="9" t="n">
        <v>30183.97</v>
      </c>
      <c r="F54" s="12" t="n">
        <f aca="false">SUM(E54/4)</f>
        <v>7545.9925</v>
      </c>
      <c r="G54" s="89" t="n">
        <f aca="false">SUM(B54*0.03/E54*F54)</f>
        <v>0.0075</v>
      </c>
      <c r="H54" s="12" t="n">
        <f aca="false">SUM(C54*G54)</f>
        <v>37.5</v>
      </c>
    </row>
    <row r="55" customFormat="false" ht="15.75" hidden="false" customHeight="false" outlineLevel="0" collapsed="false">
      <c r="A55" s="4" t="s">
        <v>103</v>
      </c>
      <c r="B55" s="9" t="n">
        <v>1</v>
      </c>
      <c r="C55" s="88" t="n">
        <v>5040</v>
      </c>
      <c r="D55" s="88" t="n">
        <f aca="false">SUM(B55*C55)</f>
        <v>5040</v>
      </c>
      <c r="E55" s="9" t="n">
        <v>30183.97</v>
      </c>
      <c r="F55" s="12" t="n">
        <f aca="false">SUM(E55/4)</f>
        <v>7545.9925</v>
      </c>
      <c r="G55" s="89" t="n">
        <f aca="false">SUM(B55*0.03/E55*F55)</f>
        <v>0.0075</v>
      </c>
      <c r="H55" s="12" t="n">
        <f aca="false">SUM(C55*G55)</f>
        <v>37.8</v>
      </c>
    </row>
    <row r="56" customFormat="false" ht="15.75" hidden="false" customHeight="true" outlineLevel="0" collapsed="false">
      <c r="A56" s="90" t="s">
        <v>104</v>
      </c>
      <c r="B56" s="90"/>
      <c r="C56" s="90"/>
      <c r="D56" s="90"/>
      <c r="E56" s="90"/>
      <c r="F56" s="90"/>
      <c r="G56" s="90"/>
      <c r="H56" s="44" t="n">
        <f aca="false">SUM(H40:H55)</f>
        <v>1673.2851</v>
      </c>
    </row>
    <row r="57" customFormat="false" ht="15.75" hidden="false" customHeight="false" outlineLevel="0" collapsed="false">
      <c r="A57" s="36"/>
      <c r="B57" s="36"/>
      <c r="C57" s="36"/>
      <c r="D57" s="36"/>
      <c r="E57" s="36"/>
      <c r="F57" s="36"/>
      <c r="G57" s="36"/>
      <c r="H57" s="91"/>
    </row>
    <row r="58" customFormat="false" ht="43.5" hidden="false" customHeight="true" outlineLevel="0" collapsed="false">
      <c r="A58" s="39" t="s">
        <v>65</v>
      </c>
      <c r="B58" s="39"/>
      <c r="C58" s="39"/>
      <c r="D58" s="39"/>
      <c r="E58" s="39"/>
      <c r="F58" s="39"/>
      <c r="G58" s="39"/>
      <c r="H58" s="39"/>
    </row>
    <row r="59" customFormat="false" ht="15.75" hidden="false" customHeight="false" outlineLevel="0" collapsed="false">
      <c r="A59" s="9"/>
      <c r="B59" s="9"/>
      <c r="C59" s="88"/>
      <c r="D59" s="88" t="n">
        <f aca="false">SUM(B59*C59)</f>
        <v>0</v>
      </c>
      <c r="E59" s="9"/>
      <c r="F59" s="9"/>
      <c r="G59" s="89"/>
      <c r="H59" s="12"/>
    </row>
    <row r="60" customFormat="false" ht="15.75" hidden="false" customHeight="false" outlineLevel="0" collapsed="false">
      <c r="A60" s="4"/>
      <c r="B60" s="9"/>
      <c r="C60" s="88"/>
      <c r="D60" s="88" t="n">
        <f aca="false">SUM(B60*C60)</f>
        <v>0</v>
      </c>
      <c r="E60" s="9"/>
      <c r="F60" s="9"/>
      <c r="G60" s="89"/>
      <c r="H60" s="12"/>
    </row>
    <row r="61" customFormat="false" ht="15.75" hidden="false" customHeight="false" outlineLevel="0" collapsed="false">
      <c r="A61" s="9" t="s">
        <v>92</v>
      </c>
      <c r="B61" s="9" t="n">
        <v>4</v>
      </c>
      <c r="C61" s="88" t="n">
        <v>3300</v>
      </c>
      <c r="D61" s="88" t="n">
        <f aca="false">SUM(B61*C61)</f>
        <v>13200</v>
      </c>
      <c r="E61" s="9" t="n">
        <v>30183.97</v>
      </c>
      <c r="F61" s="12" t="n">
        <f aca="false">SUM(E61/27)</f>
        <v>1117.92481481481</v>
      </c>
      <c r="G61" s="89" t="n">
        <f aca="false">SUM(B61*0.18/E61*F61)</f>
        <v>0.0266666666666667</v>
      </c>
      <c r="H61" s="12" t="n">
        <f aca="false">SUM(C61*G61)</f>
        <v>88</v>
      </c>
    </row>
    <row r="62" customFormat="false" ht="15.75" hidden="false" customHeight="false" outlineLevel="0" collapsed="false">
      <c r="A62" s="9" t="s">
        <v>93</v>
      </c>
      <c r="B62" s="9" t="n">
        <v>12</v>
      </c>
      <c r="C62" s="88" t="n">
        <v>1102.3</v>
      </c>
      <c r="D62" s="88" t="n">
        <f aca="false">SUM(B62*C62)</f>
        <v>13227.6</v>
      </c>
      <c r="E62" s="9" t="n">
        <v>30183.97</v>
      </c>
      <c r="F62" s="12" t="n">
        <f aca="false">SUM(E62/27)</f>
        <v>1117.92481481481</v>
      </c>
      <c r="G62" s="89" t="n">
        <f aca="false">SUM(B62*0.18/E62*F62)</f>
        <v>0.08</v>
      </c>
      <c r="H62" s="12" t="n">
        <f aca="false">SUM(C62*G62)</f>
        <v>88.184</v>
      </c>
    </row>
    <row r="63" customFormat="false" ht="15.75" hidden="false" customHeight="false" outlineLevel="0" collapsed="false">
      <c r="A63" s="9" t="s">
        <v>94</v>
      </c>
      <c r="B63" s="9" t="n">
        <v>12</v>
      </c>
      <c r="C63" s="88" t="n">
        <v>177.59</v>
      </c>
      <c r="D63" s="88" t="n">
        <f aca="false">SUM(B63*C63)</f>
        <v>2131.08</v>
      </c>
      <c r="E63" s="9" t="n">
        <v>30183.97</v>
      </c>
      <c r="F63" s="12" t="n">
        <f aca="false">SUM(E63/27)</f>
        <v>1117.92481481481</v>
      </c>
      <c r="G63" s="89" t="n">
        <f aca="false">SUM(B63*0.18/E63*F63)</f>
        <v>0.08</v>
      </c>
      <c r="H63" s="12" t="n">
        <f aca="false">SUM(C63*G63)</f>
        <v>14.2072</v>
      </c>
    </row>
    <row r="64" customFormat="false" ht="47.25" hidden="false" customHeight="false" outlineLevel="0" collapsed="false">
      <c r="A64" s="4" t="s">
        <v>95</v>
      </c>
      <c r="B64" s="9" t="n">
        <v>2</v>
      </c>
      <c r="C64" s="88" t="n">
        <v>10000</v>
      </c>
      <c r="D64" s="88" t="n">
        <f aca="false">SUM(B64*C64)</f>
        <v>20000</v>
      </c>
      <c r="E64" s="9" t="n">
        <v>30183.97</v>
      </c>
      <c r="F64" s="12" t="n">
        <f aca="false">SUM(E64/27)</f>
        <v>1117.92481481481</v>
      </c>
      <c r="G64" s="89" t="n">
        <f aca="false">SUM(B64*0.18/E64*F64)</f>
        <v>0.0133333333333333</v>
      </c>
      <c r="H64" s="12" t="n">
        <f aca="false">SUM(C64*G64)</f>
        <v>133.333333333333</v>
      </c>
    </row>
    <row r="65" customFormat="false" ht="47.25" hidden="false" customHeight="false" outlineLevel="0" collapsed="false">
      <c r="A65" s="4" t="s">
        <v>96</v>
      </c>
      <c r="B65" s="9" t="n">
        <v>1</v>
      </c>
      <c r="C65" s="88" t="n">
        <v>25000</v>
      </c>
      <c r="D65" s="88" t="n">
        <f aca="false">SUM(B65*C65)</f>
        <v>25000</v>
      </c>
      <c r="E65" s="9" t="n">
        <v>30183.97</v>
      </c>
      <c r="F65" s="12" t="n">
        <f aca="false">SUM(E65/27)</f>
        <v>1117.92481481481</v>
      </c>
      <c r="G65" s="89" t="n">
        <f aca="false">SUM(B65*0.18/E65*F65)</f>
        <v>0.00666666666666667</v>
      </c>
      <c r="H65" s="12" t="n">
        <f aca="false">SUM(C65*G65)</f>
        <v>166.666666666667</v>
      </c>
    </row>
    <row r="66" customFormat="false" ht="47.25" hidden="false" customHeight="false" outlineLevel="0" collapsed="false">
      <c r="A66" s="4" t="s">
        <v>97</v>
      </c>
      <c r="B66" s="9" t="n">
        <v>1</v>
      </c>
      <c r="C66" s="88" t="n">
        <v>50000</v>
      </c>
      <c r="D66" s="88" t="n">
        <f aca="false">SUM(B66*C66)</f>
        <v>50000</v>
      </c>
      <c r="E66" s="9" t="n">
        <v>30183.97</v>
      </c>
      <c r="F66" s="12" t="n">
        <f aca="false">SUM(E66/27)</f>
        <v>1117.92481481481</v>
      </c>
      <c r="G66" s="89" t="n">
        <f aca="false">SUM(B66*0.18/E66*F66)</f>
        <v>0.00666666666666667</v>
      </c>
      <c r="H66" s="12" t="n">
        <f aca="false">SUM(C66*G66)</f>
        <v>333.333333333333</v>
      </c>
    </row>
    <row r="67" customFormat="false" ht="31.5" hidden="false" customHeight="false" outlineLevel="0" collapsed="false">
      <c r="A67" s="4" t="s">
        <v>98</v>
      </c>
      <c r="B67" s="9" t="n">
        <v>1</v>
      </c>
      <c r="C67" s="88" t="n">
        <v>30000</v>
      </c>
      <c r="D67" s="88" t="n">
        <f aca="false">SUM(B67*C67)</f>
        <v>30000</v>
      </c>
      <c r="E67" s="9" t="n">
        <v>30183.97</v>
      </c>
      <c r="F67" s="12" t="n">
        <f aca="false">SUM(E67/27)</f>
        <v>1117.92481481481</v>
      </c>
      <c r="G67" s="89" t="n">
        <f aca="false">SUM(B67*0.18/E67*F67)</f>
        <v>0.00666666666666667</v>
      </c>
      <c r="H67" s="12" t="n">
        <f aca="false">SUM(C67*G67)</f>
        <v>200</v>
      </c>
    </row>
    <row r="68" customFormat="false" ht="31.5" hidden="false" customHeight="false" outlineLevel="0" collapsed="false">
      <c r="A68" s="4" t="s">
        <v>99</v>
      </c>
      <c r="B68" s="9" t="n">
        <v>12</v>
      </c>
      <c r="C68" s="88" t="n">
        <v>2730</v>
      </c>
      <c r="D68" s="88" t="n">
        <f aca="false">SUM(B68*C68)</f>
        <v>32760</v>
      </c>
      <c r="E68" s="9" t="n">
        <v>30183.97</v>
      </c>
      <c r="F68" s="12" t="n">
        <f aca="false">SUM(E68/27)</f>
        <v>1117.92481481481</v>
      </c>
      <c r="G68" s="89" t="n">
        <f aca="false">SUM(B68*0.18/E68*F68)</f>
        <v>0.08</v>
      </c>
      <c r="H68" s="12" t="n">
        <f aca="false">SUM(C68*G68)</f>
        <v>218.4</v>
      </c>
    </row>
    <row r="69" customFormat="false" ht="31.5" hidden="false" customHeight="false" outlineLevel="0" collapsed="false">
      <c r="A69" s="4" t="s">
        <v>100</v>
      </c>
      <c r="B69" s="9" t="n">
        <v>1</v>
      </c>
      <c r="C69" s="88" t="n">
        <v>10234</v>
      </c>
      <c r="D69" s="88" t="n">
        <f aca="false">SUM(B69*C69)</f>
        <v>10234</v>
      </c>
      <c r="E69" s="9" t="n">
        <v>30183.97</v>
      </c>
      <c r="F69" s="12" t="n">
        <f aca="false">SUM(E69/27)</f>
        <v>1117.92481481481</v>
      </c>
      <c r="G69" s="89" t="n">
        <f aca="false">SUM(B69*0.18/E69*F69)</f>
        <v>0.00666666666666667</v>
      </c>
      <c r="H69" s="12" t="n">
        <f aca="false">SUM(C69*G69)</f>
        <v>68.2266666666667</v>
      </c>
    </row>
    <row r="70" customFormat="false" ht="31.5" hidden="false" customHeight="false" outlineLevel="0" collapsed="false">
      <c r="A70" s="4" t="s">
        <v>101</v>
      </c>
      <c r="B70" s="9" t="n">
        <v>12</v>
      </c>
      <c r="C70" s="88" t="n">
        <v>1376</v>
      </c>
      <c r="D70" s="88" t="n">
        <f aca="false">SUM(B70*C70)</f>
        <v>16512</v>
      </c>
      <c r="E70" s="9" t="n">
        <v>30183.97</v>
      </c>
      <c r="F70" s="12" t="n">
        <f aca="false">SUM(E70/27)</f>
        <v>1117.92481481481</v>
      </c>
      <c r="G70" s="89" t="n">
        <f aca="false">SUM(B70*0.18/E70*F70)</f>
        <v>0.08</v>
      </c>
      <c r="H70" s="12" t="n">
        <f aca="false">SUM(C70*G70)</f>
        <v>110.08</v>
      </c>
    </row>
    <row r="71" customFormat="false" ht="15.75" hidden="false" customHeight="false" outlineLevel="0" collapsed="false">
      <c r="A71" s="4"/>
      <c r="B71" s="9"/>
      <c r="C71" s="88"/>
      <c r="D71" s="88"/>
      <c r="E71" s="9"/>
      <c r="F71" s="12" t="n">
        <f aca="false">SUM(E71/27)</f>
        <v>0</v>
      </c>
      <c r="G71" s="89"/>
      <c r="H71" s="12"/>
    </row>
    <row r="72" customFormat="false" ht="15.75" hidden="false" customHeight="false" outlineLevel="0" collapsed="false">
      <c r="A72" s="4"/>
      <c r="B72" s="9"/>
      <c r="C72" s="88"/>
      <c r="D72" s="88" t="n">
        <f aca="false">SUM(B72*C72)</f>
        <v>0</v>
      </c>
      <c r="E72" s="9"/>
      <c r="F72" s="12" t="n">
        <f aca="false">SUM(E72/27)</f>
        <v>0</v>
      </c>
      <c r="G72" s="89"/>
      <c r="H72" s="12"/>
    </row>
    <row r="73" customFormat="false" ht="15.75" hidden="false" customHeight="false" outlineLevel="0" collapsed="false">
      <c r="A73" s="4" t="s">
        <v>102</v>
      </c>
      <c r="B73" s="9" t="n">
        <v>1</v>
      </c>
      <c r="C73" s="88" t="n">
        <v>5000</v>
      </c>
      <c r="D73" s="88" t="n">
        <f aca="false">SUM(B73*C73)</f>
        <v>5000</v>
      </c>
      <c r="E73" s="9" t="n">
        <v>30183.97</v>
      </c>
      <c r="F73" s="12" t="n">
        <f aca="false">SUM(E73/27)</f>
        <v>1117.92481481481</v>
      </c>
      <c r="G73" s="89" t="n">
        <f aca="false">SUM(B73*0.18/E73*F73)</f>
        <v>0.00666666666666667</v>
      </c>
      <c r="H73" s="12" t="n">
        <f aca="false">SUM(C73*G73)</f>
        <v>33.3333333333333</v>
      </c>
    </row>
    <row r="74" customFormat="false" ht="15.75" hidden="false" customHeight="false" outlineLevel="0" collapsed="false">
      <c r="A74" s="4" t="s">
        <v>103</v>
      </c>
      <c r="B74" s="9" t="n">
        <v>1</v>
      </c>
      <c r="C74" s="88" t="n">
        <v>5040</v>
      </c>
      <c r="D74" s="88" t="n">
        <f aca="false">SUM(B74*C74)</f>
        <v>5040</v>
      </c>
      <c r="E74" s="9" t="n">
        <v>30183.97</v>
      </c>
      <c r="F74" s="12" t="n">
        <f aca="false">SUM(E74/27)</f>
        <v>1117.92481481481</v>
      </c>
      <c r="G74" s="89" t="n">
        <f aca="false">SUM(B74*0.18/E74*F74)</f>
        <v>0.00666666666666667</v>
      </c>
      <c r="H74" s="12" t="n">
        <f aca="false">SUM(C74*G74)</f>
        <v>33.6</v>
      </c>
    </row>
    <row r="75" customFormat="false" ht="15.75" hidden="false" customHeight="true" outlineLevel="0" collapsed="false">
      <c r="A75" s="90" t="s">
        <v>104</v>
      </c>
      <c r="B75" s="90"/>
      <c r="C75" s="90"/>
      <c r="D75" s="90"/>
      <c r="E75" s="90"/>
      <c r="F75" s="90"/>
      <c r="G75" s="90"/>
      <c r="H75" s="44" t="n">
        <f aca="false">SUM(H59:H74)</f>
        <v>1487.36453333333</v>
      </c>
    </row>
    <row r="76" customFormat="false" ht="15.75" hidden="false" customHeight="false" outlineLevel="0" collapsed="false">
      <c r="A76" s="36"/>
      <c r="B76" s="36"/>
      <c r="C76" s="36"/>
      <c r="D76" s="36"/>
      <c r="E76" s="36"/>
      <c r="F76" s="36"/>
      <c r="G76" s="36"/>
      <c r="H76" s="91"/>
    </row>
    <row r="77" customFormat="false" ht="28.5" hidden="false" customHeight="true" outlineLevel="0" collapsed="false">
      <c r="A77" s="39" t="s">
        <v>66</v>
      </c>
      <c r="B77" s="39"/>
      <c r="C77" s="39"/>
      <c r="D77" s="39"/>
      <c r="E77" s="39"/>
      <c r="F77" s="39"/>
      <c r="G77" s="39"/>
      <c r="H77" s="39"/>
    </row>
    <row r="78" customFormat="false" ht="15.75" hidden="false" customHeight="false" outlineLevel="0" collapsed="false">
      <c r="A78" s="9"/>
      <c r="B78" s="9"/>
      <c r="C78" s="88"/>
      <c r="D78" s="88" t="n">
        <f aca="false">SUM(B78*C78)</f>
        <v>0</v>
      </c>
      <c r="E78" s="9"/>
      <c r="F78" s="9"/>
      <c r="G78" s="89"/>
      <c r="H78" s="12"/>
    </row>
    <row r="79" customFormat="false" ht="15.75" hidden="false" customHeight="false" outlineLevel="0" collapsed="false">
      <c r="A79" s="4"/>
      <c r="B79" s="9"/>
      <c r="C79" s="88"/>
      <c r="D79" s="88" t="n">
        <f aca="false">SUM(B79*C79)</f>
        <v>0</v>
      </c>
      <c r="E79" s="9"/>
      <c r="F79" s="9"/>
      <c r="G79" s="89"/>
      <c r="H79" s="12"/>
    </row>
    <row r="80" customFormat="false" ht="15.75" hidden="false" customHeight="false" outlineLevel="0" collapsed="false">
      <c r="A80" s="9" t="s">
        <v>92</v>
      </c>
      <c r="B80" s="9" t="n">
        <v>4</v>
      </c>
      <c r="C80" s="88" t="n">
        <v>3300</v>
      </c>
      <c r="D80" s="88" t="n">
        <f aca="false">SUM(B80*C80)</f>
        <v>13200</v>
      </c>
      <c r="E80" s="9" t="n">
        <v>30183.97</v>
      </c>
      <c r="F80" s="9" t="n">
        <f aca="false">SUM(E80/5)</f>
        <v>6036.794</v>
      </c>
      <c r="G80" s="89" t="n">
        <f aca="false">SUM(B80*0.03/E80*F80)</f>
        <v>0.024</v>
      </c>
      <c r="H80" s="12" t="n">
        <f aca="false">SUM(C80*G80)</f>
        <v>79.2</v>
      </c>
    </row>
    <row r="81" customFormat="false" ht="15.75" hidden="false" customHeight="false" outlineLevel="0" collapsed="false">
      <c r="A81" s="9" t="s">
        <v>93</v>
      </c>
      <c r="B81" s="9" t="n">
        <v>12</v>
      </c>
      <c r="C81" s="88" t="n">
        <v>1102.3</v>
      </c>
      <c r="D81" s="88" t="n">
        <f aca="false">SUM(B81*C81)</f>
        <v>13227.6</v>
      </c>
      <c r="E81" s="9" t="n">
        <v>30183.97</v>
      </c>
      <c r="F81" s="9" t="n">
        <f aca="false">SUM(E81/5)</f>
        <v>6036.794</v>
      </c>
      <c r="G81" s="89" t="n">
        <f aca="false">SUM(B81*0.03/E81*F81)</f>
        <v>0.072</v>
      </c>
      <c r="H81" s="12" t="n">
        <f aca="false">SUM(C81*G81)</f>
        <v>79.3656</v>
      </c>
    </row>
    <row r="82" customFormat="false" ht="15.75" hidden="false" customHeight="false" outlineLevel="0" collapsed="false">
      <c r="A82" s="9" t="s">
        <v>94</v>
      </c>
      <c r="B82" s="9" t="n">
        <v>12</v>
      </c>
      <c r="C82" s="88" t="n">
        <v>177.59</v>
      </c>
      <c r="D82" s="88" t="n">
        <f aca="false">SUM(B82*C82)</f>
        <v>2131.08</v>
      </c>
      <c r="E82" s="9" t="n">
        <v>30183.97</v>
      </c>
      <c r="F82" s="9" t="n">
        <f aca="false">SUM(E82/5)</f>
        <v>6036.794</v>
      </c>
      <c r="G82" s="89" t="n">
        <f aca="false">SUM(B82*0.03/E82*F82)</f>
        <v>0.072</v>
      </c>
      <c r="H82" s="12" t="n">
        <f aca="false">SUM(C82*G82)</f>
        <v>12.78648</v>
      </c>
    </row>
    <row r="83" customFormat="false" ht="47.25" hidden="false" customHeight="false" outlineLevel="0" collapsed="false">
      <c r="A83" s="4" t="s">
        <v>95</v>
      </c>
      <c r="B83" s="9" t="n">
        <v>2</v>
      </c>
      <c r="C83" s="88" t="n">
        <v>10000</v>
      </c>
      <c r="D83" s="88" t="n">
        <f aca="false">SUM(B83*C83)</f>
        <v>20000</v>
      </c>
      <c r="E83" s="9" t="n">
        <v>30183.97</v>
      </c>
      <c r="F83" s="9" t="n">
        <f aca="false">SUM(E83/5)</f>
        <v>6036.794</v>
      </c>
      <c r="G83" s="89" t="n">
        <f aca="false">SUM(B83*0.03/E83*F83)</f>
        <v>0.012</v>
      </c>
      <c r="H83" s="12" t="n">
        <f aca="false">SUM(C83*G83)</f>
        <v>120</v>
      </c>
    </row>
    <row r="84" customFormat="false" ht="47.25" hidden="false" customHeight="false" outlineLevel="0" collapsed="false">
      <c r="A84" s="4" t="s">
        <v>96</v>
      </c>
      <c r="B84" s="9" t="n">
        <v>1</v>
      </c>
      <c r="C84" s="88" t="n">
        <v>25000</v>
      </c>
      <c r="D84" s="88" t="n">
        <f aca="false">SUM(B84*C84)</f>
        <v>25000</v>
      </c>
      <c r="E84" s="9" t="n">
        <v>30183.97</v>
      </c>
      <c r="F84" s="9" t="n">
        <f aca="false">SUM(E84/5)</f>
        <v>6036.794</v>
      </c>
      <c r="G84" s="89" t="n">
        <f aca="false">SUM(B84*0.03/E84*F84)</f>
        <v>0.006</v>
      </c>
      <c r="H84" s="12" t="n">
        <f aca="false">SUM(C84*G84)</f>
        <v>150</v>
      </c>
    </row>
    <row r="85" customFormat="false" ht="47.25" hidden="false" customHeight="false" outlineLevel="0" collapsed="false">
      <c r="A85" s="4" t="s">
        <v>97</v>
      </c>
      <c r="B85" s="9" t="n">
        <v>1</v>
      </c>
      <c r="C85" s="88" t="n">
        <v>50000</v>
      </c>
      <c r="D85" s="88" t="n">
        <f aca="false">SUM(B85*C85)</f>
        <v>50000</v>
      </c>
      <c r="E85" s="9" t="n">
        <v>30183.97</v>
      </c>
      <c r="F85" s="9" t="n">
        <f aca="false">SUM(E85/5)</f>
        <v>6036.794</v>
      </c>
      <c r="G85" s="89" t="n">
        <f aca="false">SUM(B85*0.03/E85*F85)</f>
        <v>0.006</v>
      </c>
      <c r="H85" s="12" t="n">
        <f aca="false">SUM(C85*G85)</f>
        <v>300</v>
      </c>
    </row>
    <row r="86" customFormat="false" ht="31.5" hidden="false" customHeight="false" outlineLevel="0" collapsed="false">
      <c r="A86" s="4" t="s">
        <v>98</v>
      </c>
      <c r="B86" s="9" t="n">
        <v>1</v>
      </c>
      <c r="C86" s="88" t="n">
        <v>30000</v>
      </c>
      <c r="D86" s="88" t="n">
        <f aca="false">SUM(B86*C86)</f>
        <v>30000</v>
      </c>
      <c r="E86" s="9" t="n">
        <v>30183.97</v>
      </c>
      <c r="F86" s="9" t="n">
        <f aca="false">SUM(E86/5)</f>
        <v>6036.794</v>
      </c>
      <c r="G86" s="89" t="n">
        <f aca="false">SUM(B86*0.03/E86*F86)</f>
        <v>0.006</v>
      </c>
      <c r="H86" s="12" t="n">
        <f aca="false">SUM(C86*G86)</f>
        <v>180</v>
      </c>
    </row>
    <row r="87" customFormat="false" ht="31.5" hidden="false" customHeight="false" outlineLevel="0" collapsed="false">
      <c r="A87" s="4" t="s">
        <v>99</v>
      </c>
      <c r="B87" s="9" t="n">
        <v>12</v>
      </c>
      <c r="C87" s="88" t="n">
        <v>2730</v>
      </c>
      <c r="D87" s="88" t="n">
        <f aca="false">SUM(B87*C87)</f>
        <v>32760</v>
      </c>
      <c r="E87" s="9" t="n">
        <v>30183.97</v>
      </c>
      <c r="F87" s="9" t="n">
        <f aca="false">SUM(E87/5)</f>
        <v>6036.794</v>
      </c>
      <c r="G87" s="89" t="n">
        <f aca="false">SUM(B87*0.03/E87*F87)</f>
        <v>0.072</v>
      </c>
      <c r="H87" s="12" t="n">
        <f aca="false">SUM(C87*G87)</f>
        <v>196.56</v>
      </c>
    </row>
    <row r="88" customFormat="false" ht="31.5" hidden="false" customHeight="false" outlineLevel="0" collapsed="false">
      <c r="A88" s="4" t="s">
        <v>100</v>
      </c>
      <c r="B88" s="9" t="n">
        <v>1</v>
      </c>
      <c r="C88" s="88" t="n">
        <v>10234</v>
      </c>
      <c r="D88" s="88" t="n">
        <f aca="false">SUM(B88*C88)</f>
        <v>10234</v>
      </c>
      <c r="E88" s="9" t="n">
        <v>30183.97</v>
      </c>
      <c r="F88" s="9" t="n">
        <f aca="false">SUM(E88/5)</f>
        <v>6036.794</v>
      </c>
      <c r="G88" s="89" t="n">
        <f aca="false">SUM(B88*0.03/E88*F88)</f>
        <v>0.006</v>
      </c>
      <c r="H88" s="12" t="n">
        <f aca="false">SUM(C88*G88)</f>
        <v>61.404</v>
      </c>
    </row>
    <row r="89" customFormat="false" ht="31.5" hidden="false" customHeight="false" outlineLevel="0" collapsed="false">
      <c r="A89" s="4" t="s">
        <v>101</v>
      </c>
      <c r="B89" s="9" t="n">
        <v>12</v>
      </c>
      <c r="C89" s="88" t="n">
        <v>1376</v>
      </c>
      <c r="D89" s="88" t="n">
        <f aca="false">SUM(B89*C89)</f>
        <v>16512</v>
      </c>
      <c r="E89" s="9" t="n">
        <v>30183.97</v>
      </c>
      <c r="F89" s="9" t="n">
        <f aca="false">SUM(E89/5)</f>
        <v>6036.794</v>
      </c>
      <c r="G89" s="89" t="n">
        <f aca="false">SUM(B89*0.03/E89*F89)</f>
        <v>0.072</v>
      </c>
      <c r="H89" s="12" t="n">
        <f aca="false">SUM(C89*G89)</f>
        <v>99.072</v>
      </c>
    </row>
    <row r="90" customFormat="false" ht="15.75" hidden="false" customHeight="false" outlineLevel="0" collapsed="false">
      <c r="A90" s="4"/>
      <c r="B90" s="9"/>
      <c r="C90" s="88"/>
      <c r="D90" s="88" t="n">
        <f aca="false">SUM(B90*C90)</f>
        <v>0</v>
      </c>
      <c r="E90" s="9"/>
      <c r="F90" s="9" t="n">
        <f aca="false">SUM(E90/5)</f>
        <v>0</v>
      </c>
      <c r="G90" s="89"/>
      <c r="H90" s="12"/>
    </row>
    <row r="91" customFormat="false" ht="15.75" hidden="false" customHeight="false" outlineLevel="0" collapsed="false">
      <c r="A91" s="4"/>
      <c r="B91" s="9"/>
      <c r="C91" s="88"/>
      <c r="D91" s="88" t="n">
        <f aca="false">SUM(B91*C91)</f>
        <v>0</v>
      </c>
      <c r="E91" s="9"/>
      <c r="F91" s="9" t="n">
        <f aca="false">SUM(E91/5)</f>
        <v>0</v>
      </c>
      <c r="G91" s="89"/>
      <c r="H91" s="12"/>
    </row>
    <row r="92" customFormat="false" ht="15.75" hidden="false" customHeight="false" outlineLevel="0" collapsed="false">
      <c r="A92" s="4" t="s">
        <v>102</v>
      </c>
      <c r="B92" s="9" t="n">
        <v>1</v>
      </c>
      <c r="C92" s="88" t="n">
        <v>5000</v>
      </c>
      <c r="D92" s="88" t="n">
        <f aca="false">SUM(B92*C92)</f>
        <v>5000</v>
      </c>
      <c r="E92" s="9" t="n">
        <v>30183.97</v>
      </c>
      <c r="F92" s="9" t="n">
        <f aca="false">SUM(E92/5)</f>
        <v>6036.794</v>
      </c>
      <c r="G92" s="89" t="n">
        <f aca="false">SUM(B92*0.03/E92*F92)</f>
        <v>0.006</v>
      </c>
      <c r="H92" s="12" t="n">
        <f aca="false">SUM(C92*G92)</f>
        <v>30</v>
      </c>
    </row>
    <row r="93" customFormat="false" ht="15.75" hidden="false" customHeight="false" outlineLevel="0" collapsed="false">
      <c r="A93" s="4" t="s">
        <v>103</v>
      </c>
      <c r="B93" s="9" t="n">
        <v>1</v>
      </c>
      <c r="C93" s="88" t="n">
        <v>5040</v>
      </c>
      <c r="D93" s="88" t="n">
        <f aca="false">SUM(B93*C93)</f>
        <v>5040</v>
      </c>
      <c r="E93" s="9" t="n">
        <v>30183.97</v>
      </c>
      <c r="F93" s="9" t="n">
        <f aca="false">SUM(E93/5)</f>
        <v>6036.794</v>
      </c>
      <c r="G93" s="89" t="n">
        <f aca="false">SUM(B93*0.03/E93*F93)</f>
        <v>0.006</v>
      </c>
      <c r="H93" s="12" t="n">
        <f aca="false">SUM(C93*G93)</f>
        <v>30.24</v>
      </c>
    </row>
    <row r="94" customFormat="false" ht="15.75" hidden="false" customHeight="true" outlineLevel="0" collapsed="false">
      <c r="A94" s="90" t="s">
        <v>104</v>
      </c>
      <c r="B94" s="90"/>
      <c r="C94" s="90"/>
      <c r="D94" s="90"/>
      <c r="E94" s="90"/>
      <c r="F94" s="90"/>
      <c r="G94" s="90"/>
      <c r="H94" s="44" t="n">
        <f aca="false">SUM(H78:H91)</f>
        <v>1278.38808</v>
      </c>
    </row>
    <row r="95" customFormat="false" ht="15.75" hidden="false" customHeight="false" outlineLevel="0" collapsed="false">
      <c r="A95" s="92"/>
      <c r="B95" s="93"/>
      <c r="C95" s="93"/>
      <c r="D95" s="93"/>
      <c r="E95" s="93"/>
      <c r="F95" s="93"/>
      <c r="G95" s="93"/>
      <c r="H95" s="94"/>
    </row>
    <row r="96" customFormat="false" ht="36.75" hidden="false" customHeight="true" outlineLevel="0" collapsed="false">
      <c r="A96" s="39" t="s">
        <v>67</v>
      </c>
      <c r="B96" s="39"/>
      <c r="C96" s="39"/>
      <c r="D96" s="39"/>
      <c r="E96" s="39"/>
      <c r="F96" s="39"/>
      <c r="G96" s="39"/>
      <c r="H96" s="39"/>
    </row>
    <row r="97" customFormat="false" ht="15.75" hidden="false" customHeight="false" outlineLevel="0" collapsed="false">
      <c r="A97" s="9"/>
      <c r="B97" s="9"/>
      <c r="C97" s="88"/>
      <c r="D97" s="88" t="n">
        <f aca="false">SUM(B97*C97)</f>
        <v>0</v>
      </c>
      <c r="E97" s="9"/>
      <c r="F97" s="9"/>
      <c r="G97" s="89"/>
      <c r="H97" s="12"/>
    </row>
    <row r="98" customFormat="false" ht="15.75" hidden="false" customHeight="false" outlineLevel="0" collapsed="false">
      <c r="A98" s="4"/>
      <c r="B98" s="9"/>
      <c r="C98" s="88"/>
      <c r="D98" s="88" t="n">
        <f aca="false">SUM(B98*C98)</f>
        <v>0</v>
      </c>
      <c r="E98" s="9"/>
      <c r="F98" s="9"/>
      <c r="G98" s="89"/>
      <c r="H98" s="12"/>
    </row>
    <row r="99" customFormat="false" ht="15.75" hidden="false" customHeight="false" outlineLevel="0" collapsed="false">
      <c r="A99" s="9" t="s">
        <v>92</v>
      </c>
      <c r="B99" s="9" t="n">
        <v>4</v>
      </c>
      <c r="C99" s="88" t="n">
        <v>3300</v>
      </c>
      <c r="D99" s="88" t="n">
        <f aca="false">SUM(B99*C99)</f>
        <v>13200</v>
      </c>
      <c r="E99" s="9" t="n">
        <v>30183.97</v>
      </c>
      <c r="F99" s="12" t="n">
        <f aca="false">SUM(E99/24)</f>
        <v>1257.66541666667</v>
      </c>
      <c r="G99" s="89" t="n">
        <f aca="false">SUM(B99*0.16/E99*F99)</f>
        <v>0.0266666666666667</v>
      </c>
      <c r="H99" s="12" t="n">
        <f aca="false">SUM(C99*G99)</f>
        <v>88</v>
      </c>
    </row>
    <row r="100" customFormat="false" ht="15.75" hidden="false" customHeight="false" outlineLevel="0" collapsed="false">
      <c r="A100" s="9" t="s">
        <v>93</v>
      </c>
      <c r="B100" s="9" t="n">
        <v>12</v>
      </c>
      <c r="C100" s="88" t="n">
        <v>1102.3</v>
      </c>
      <c r="D100" s="88" t="n">
        <f aca="false">SUM(B100*C100)</f>
        <v>13227.6</v>
      </c>
      <c r="E100" s="9" t="n">
        <v>30183.97</v>
      </c>
      <c r="F100" s="12" t="n">
        <f aca="false">SUM(E100/24)</f>
        <v>1257.66541666667</v>
      </c>
      <c r="G100" s="89" t="n">
        <f aca="false">SUM(B100*0.16/E100*F100)</f>
        <v>0.08</v>
      </c>
      <c r="H100" s="12" t="n">
        <f aca="false">SUM(C100*G100)</f>
        <v>88.184</v>
      </c>
    </row>
    <row r="101" customFormat="false" ht="15.75" hidden="false" customHeight="false" outlineLevel="0" collapsed="false">
      <c r="A101" s="9" t="s">
        <v>94</v>
      </c>
      <c r="B101" s="9" t="n">
        <v>12</v>
      </c>
      <c r="C101" s="88" t="n">
        <v>177.59</v>
      </c>
      <c r="D101" s="88" t="n">
        <f aca="false">SUM(B101*C101)</f>
        <v>2131.08</v>
      </c>
      <c r="E101" s="9" t="n">
        <v>30183.97</v>
      </c>
      <c r="F101" s="12" t="n">
        <f aca="false">SUM(E101/24)</f>
        <v>1257.66541666667</v>
      </c>
      <c r="G101" s="89" t="n">
        <f aca="false">SUM(B101*0.16/E101*F101)</f>
        <v>0.08</v>
      </c>
      <c r="H101" s="12" t="n">
        <f aca="false">SUM(C101*G101)</f>
        <v>14.2072</v>
      </c>
    </row>
    <row r="102" customFormat="false" ht="47.25" hidden="false" customHeight="false" outlineLevel="0" collapsed="false">
      <c r="A102" s="4" t="s">
        <v>95</v>
      </c>
      <c r="B102" s="9" t="n">
        <v>2</v>
      </c>
      <c r="C102" s="88" t="n">
        <v>10000</v>
      </c>
      <c r="D102" s="88" t="n">
        <f aca="false">SUM(B102*C102)</f>
        <v>20000</v>
      </c>
      <c r="E102" s="9" t="n">
        <v>30183.97</v>
      </c>
      <c r="F102" s="12" t="n">
        <f aca="false">SUM(E102/24)</f>
        <v>1257.66541666667</v>
      </c>
      <c r="G102" s="89" t="n">
        <f aca="false">SUM(B102*0.16/E102*F102)</f>
        <v>0.0133333333333333</v>
      </c>
      <c r="H102" s="12" t="n">
        <f aca="false">SUM(C102*G102)</f>
        <v>133.333333333333</v>
      </c>
    </row>
    <row r="103" customFormat="false" ht="47.25" hidden="false" customHeight="false" outlineLevel="0" collapsed="false">
      <c r="A103" s="4" t="s">
        <v>96</v>
      </c>
      <c r="B103" s="9" t="n">
        <v>1</v>
      </c>
      <c r="C103" s="88" t="n">
        <v>25000</v>
      </c>
      <c r="D103" s="88" t="n">
        <f aca="false">SUM(B103*C103)</f>
        <v>25000</v>
      </c>
      <c r="E103" s="9" t="n">
        <v>30183.97</v>
      </c>
      <c r="F103" s="12" t="n">
        <f aca="false">SUM(E103/24)</f>
        <v>1257.66541666667</v>
      </c>
      <c r="G103" s="89" t="n">
        <f aca="false">SUM(B103*0.16/E103*F103)</f>
        <v>0.00666666666666667</v>
      </c>
      <c r="H103" s="12" t="n">
        <f aca="false">SUM(C103*G103)</f>
        <v>166.666666666667</v>
      </c>
    </row>
    <row r="104" customFormat="false" ht="47.25" hidden="false" customHeight="false" outlineLevel="0" collapsed="false">
      <c r="A104" s="4" t="s">
        <v>97</v>
      </c>
      <c r="B104" s="9" t="n">
        <v>1</v>
      </c>
      <c r="C104" s="88" t="n">
        <v>50000</v>
      </c>
      <c r="D104" s="88" t="n">
        <f aca="false">SUM(B104*C104)</f>
        <v>50000</v>
      </c>
      <c r="E104" s="9" t="n">
        <v>30183.97</v>
      </c>
      <c r="F104" s="12" t="n">
        <f aca="false">SUM(E104/24)</f>
        <v>1257.66541666667</v>
      </c>
      <c r="G104" s="89" t="n">
        <f aca="false">SUM(B104*0.16/E104*F104)</f>
        <v>0.00666666666666667</v>
      </c>
      <c r="H104" s="12" t="n">
        <f aca="false">SUM(C104*G104)</f>
        <v>333.333333333333</v>
      </c>
    </row>
    <row r="105" customFormat="false" ht="31.5" hidden="false" customHeight="false" outlineLevel="0" collapsed="false">
      <c r="A105" s="4" t="s">
        <v>98</v>
      </c>
      <c r="B105" s="9" t="n">
        <v>1</v>
      </c>
      <c r="C105" s="88" t="n">
        <v>30000</v>
      </c>
      <c r="D105" s="88" t="n">
        <f aca="false">SUM(B105*C105)</f>
        <v>30000</v>
      </c>
      <c r="E105" s="9" t="n">
        <v>30183.97</v>
      </c>
      <c r="F105" s="12" t="n">
        <f aca="false">SUM(E105/24)</f>
        <v>1257.66541666667</v>
      </c>
      <c r="G105" s="89" t="n">
        <f aca="false">SUM(B105*0.16/E105*F105)</f>
        <v>0.00666666666666667</v>
      </c>
      <c r="H105" s="12" t="n">
        <f aca="false">SUM(C105*G105)</f>
        <v>200</v>
      </c>
    </row>
    <row r="106" customFormat="false" ht="31.5" hidden="false" customHeight="false" outlineLevel="0" collapsed="false">
      <c r="A106" s="4" t="s">
        <v>99</v>
      </c>
      <c r="B106" s="9" t="n">
        <v>12</v>
      </c>
      <c r="C106" s="88" t="n">
        <v>2730</v>
      </c>
      <c r="D106" s="88" t="n">
        <f aca="false">SUM(B106*C106)</f>
        <v>32760</v>
      </c>
      <c r="E106" s="9" t="n">
        <v>30183.97</v>
      </c>
      <c r="F106" s="12" t="n">
        <f aca="false">SUM(E106/24)</f>
        <v>1257.66541666667</v>
      </c>
      <c r="G106" s="89" t="n">
        <f aca="false">SUM(B106*0.16/E106*F106)</f>
        <v>0.08</v>
      </c>
      <c r="H106" s="12" t="n">
        <f aca="false">SUM(C106*G106)</f>
        <v>218.4</v>
      </c>
    </row>
    <row r="107" customFormat="false" ht="31.5" hidden="false" customHeight="false" outlineLevel="0" collapsed="false">
      <c r="A107" s="4" t="s">
        <v>100</v>
      </c>
      <c r="B107" s="9" t="n">
        <v>1</v>
      </c>
      <c r="C107" s="88" t="n">
        <v>10234</v>
      </c>
      <c r="D107" s="88" t="n">
        <f aca="false">SUM(B107*C107)</f>
        <v>10234</v>
      </c>
      <c r="E107" s="9" t="n">
        <v>30183.97</v>
      </c>
      <c r="F107" s="12" t="n">
        <f aca="false">SUM(E107/24)</f>
        <v>1257.66541666667</v>
      </c>
      <c r="G107" s="89" t="n">
        <f aca="false">SUM(B107*0.16/E107*F107)</f>
        <v>0.00666666666666667</v>
      </c>
      <c r="H107" s="12" t="n">
        <f aca="false">SUM(C107*G107)</f>
        <v>68.2266666666667</v>
      </c>
    </row>
    <row r="108" customFormat="false" ht="31.5" hidden="false" customHeight="false" outlineLevel="0" collapsed="false">
      <c r="A108" s="4" t="s">
        <v>101</v>
      </c>
      <c r="B108" s="9" t="n">
        <v>12</v>
      </c>
      <c r="C108" s="88" t="n">
        <v>1376</v>
      </c>
      <c r="D108" s="88" t="n">
        <f aca="false">SUM(B108*C108)</f>
        <v>16512</v>
      </c>
      <c r="E108" s="9" t="n">
        <v>30183.97</v>
      </c>
      <c r="F108" s="12" t="n">
        <f aca="false">SUM(E108/24)</f>
        <v>1257.66541666667</v>
      </c>
      <c r="G108" s="89" t="n">
        <f aca="false">SUM(B108*0.16/E108*F108)</f>
        <v>0.08</v>
      </c>
      <c r="H108" s="12" t="n">
        <f aca="false">SUM(C108*G108)</f>
        <v>110.08</v>
      </c>
    </row>
    <row r="109" customFormat="false" ht="15.75" hidden="false" customHeight="false" outlineLevel="0" collapsed="false">
      <c r="A109" s="4"/>
      <c r="B109" s="9"/>
      <c r="C109" s="88"/>
      <c r="D109" s="88" t="n">
        <f aca="false">SUM(B109*C109)</f>
        <v>0</v>
      </c>
      <c r="E109" s="9"/>
      <c r="F109" s="12"/>
      <c r="G109" s="89"/>
      <c r="H109" s="12"/>
    </row>
    <row r="110" customFormat="false" ht="15.75" hidden="false" customHeight="false" outlineLevel="0" collapsed="false">
      <c r="A110" s="4"/>
      <c r="B110" s="9"/>
      <c r="C110" s="88"/>
      <c r="D110" s="88" t="n">
        <f aca="false">SUM(B110*C110)</f>
        <v>0</v>
      </c>
      <c r="E110" s="9"/>
      <c r="F110" s="12"/>
      <c r="G110" s="89"/>
      <c r="H110" s="12"/>
    </row>
    <row r="111" customFormat="false" ht="15.75" hidden="false" customHeight="false" outlineLevel="0" collapsed="false">
      <c r="A111" s="4" t="s">
        <v>102</v>
      </c>
      <c r="B111" s="9" t="n">
        <v>1</v>
      </c>
      <c r="C111" s="88" t="n">
        <v>5000</v>
      </c>
      <c r="D111" s="88" t="n">
        <f aca="false">SUM(B111*C111)</f>
        <v>5000</v>
      </c>
      <c r="E111" s="9" t="n">
        <v>30183.97</v>
      </c>
      <c r="F111" s="12" t="n">
        <f aca="false">SUM(E111/24)</f>
        <v>1257.66541666667</v>
      </c>
      <c r="G111" s="89" t="n">
        <f aca="false">SUM(B111*0.16/E111*F111)</f>
        <v>0.00666666666666667</v>
      </c>
      <c r="H111" s="12" t="n">
        <f aca="false">SUM(C111*G111)</f>
        <v>33.3333333333333</v>
      </c>
    </row>
    <row r="112" customFormat="false" ht="15.75" hidden="false" customHeight="false" outlineLevel="0" collapsed="false">
      <c r="A112" s="4" t="s">
        <v>103</v>
      </c>
      <c r="B112" s="9" t="n">
        <v>1</v>
      </c>
      <c r="C112" s="88" t="n">
        <v>5040</v>
      </c>
      <c r="D112" s="88" t="n">
        <f aca="false">SUM(B112*C112)</f>
        <v>5040</v>
      </c>
      <c r="E112" s="9" t="n">
        <v>30183.97</v>
      </c>
      <c r="F112" s="12" t="n">
        <f aca="false">SUM(E112/24)</f>
        <v>1257.66541666667</v>
      </c>
      <c r="G112" s="89" t="n">
        <f aca="false">SUM(B112*0.16/E112*F112)</f>
        <v>0.00666666666666667</v>
      </c>
      <c r="H112" s="12" t="n">
        <f aca="false">SUM(C112*G112)</f>
        <v>33.6</v>
      </c>
    </row>
    <row r="113" customFormat="false" ht="15.75" hidden="false" customHeight="true" outlineLevel="0" collapsed="false">
      <c r="A113" s="90" t="s">
        <v>104</v>
      </c>
      <c r="B113" s="90"/>
      <c r="C113" s="90"/>
      <c r="D113" s="90"/>
      <c r="E113" s="90"/>
      <c r="F113" s="90"/>
      <c r="G113" s="90"/>
      <c r="H113" s="44" t="n">
        <f aca="false">SUM(H97:H110)</f>
        <v>1420.4312</v>
      </c>
    </row>
    <row r="115" customFormat="false" ht="28.5" hidden="false" customHeight="true" outlineLevel="0" collapsed="false">
      <c r="A115" s="39" t="s">
        <v>68</v>
      </c>
      <c r="B115" s="39"/>
      <c r="C115" s="39"/>
      <c r="D115" s="39"/>
      <c r="E115" s="39"/>
      <c r="F115" s="39"/>
      <c r="G115" s="39"/>
      <c r="H115" s="39"/>
    </row>
    <row r="116" customFormat="false" ht="15.75" hidden="false" customHeight="false" outlineLevel="0" collapsed="false">
      <c r="A116" s="9"/>
      <c r="B116" s="9"/>
      <c r="C116" s="88"/>
      <c r="D116" s="88" t="n">
        <f aca="false">SUM(B116*C116)</f>
        <v>0</v>
      </c>
      <c r="E116" s="9"/>
      <c r="F116" s="9"/>
      <c r="G116" s="89"/>
      <c r="H116" s="12"/>
    </row>
    <row r="117" customFormat="false" ht="15.75" hidden="false" customHeight="false" outlineLevel="0" collapsed="false">
      <c r="A117" s="4"/>
      <c r="B117" s="9"/>
      <c r="C117" s="88"/>
      <c r="D117" s="88" t="n">
        <f aca="false">SUM(B117*C117)</f>
        <v>0</v>
      </c>
      <c r="E117" s="9"/>
      <c r="F117" s="9"/>
      <c r="G117" s="89"/>
      <c r="H117" s="12"/>
    </row>
    <row r="118" customFormat="false" ht="15.75" hidden="false" customHeight="false" outlineLevel="0" collapsed="false">
      <c r="A118" s="9" t="s">
        <v>92</v>
      </c>
      <c r="B118" s="9" t="n">
        <v>4</v>
      </c>
      <c r="C118" s="88" t="n">
        <v>3300</v>
      </c>
      <c r="D118" s="88" t="n">
        <f aca="false">SUM(B118*C118)</f>
        <v>13200</v>
      </c>
      <c r="E118" s="9" t="n">
        <v>30183.97</v>
      </c>
      <c r="F118" s="12" t="n">
        <f aca="false">SUM(E118/8)</f>
        <v>3772.99625</v>
      </c>
      <c r="G118" s="89" t="n">
        <f aca="false">SUM(B118*0.05/E118*F118)</f>
        <v>0.025</v>
      </c>
      <c r="H118" s="12" t="n">
        <f aca="false">SUM(C118*G118)</f>
        <v>82.5</v>
      </c>
    </row>
    <row r="119" customFormat="false" ht="15.75" hidden="false" customHeight="false" outlineLevel="0" collapsed="false">
      <c r="A119" s="9" t="s">
        <v>93</v>
      </c>
      <c r="B119" s="9" t="n">
        <v>12</v>
      </c>
      <c r="C119" s="88" t="n">
        <v>1102.3</v>
      </c>
      <c r="D119" s="88" t="n">
        <f aca="false">SUM(B119*C119)</f>
        <v>13227.6</v>
      </c>
      <c r="E119" s="9" t="n">
        <v>30183.97</v>
      </c>
      <c r="F119" s="12" t="n">
        <f aca="false">SUM(E119/8)</f>
        <v>3772.99625</v>
      </c>
      <c r="G119" s="89" t="n">
        <f aca="false">SUM(B119*0.05/E119*F119)</f>
        <v>0.075</v>
      </c>
      <c r="H119" s="12" t="n">
        <f aca="false">SUM(C119*G119)</f>
        <v>82.6725</v>
      </c>
    </row>
    <row r="120" customFormat="false" ht="15.75" hidden="false" customHeight="false" outlineLevel="0" collapsed="false">
      <c r="A120" s="9" t="s">
        <v>94</v>
      </c>
      <c r="B120" s="9" t="n">
        <v>12</v>
      </c>
      <c r="C120" s="88" t="n">
        <v>177.59</v>
      </c>
      <c r="D120" s="88" t="n">
        <f aca="false">SUM(B120*C120)</f>
        <v>2131.08</v>
      </c>
      <c r="E120" s="9" t="n">
        <v>30183.97</v>
      </c>
      <c r="F120" s="12" t="n">
        <f aca="false">SUM(E120/8)</f>
        <v>3772.99625</v>
      </c>
      <c r="G120" s="89" t="n">
        <f aca="false">SUM(B120*0.05/E120*F120)</f>
        <v>0.075</v>
      </c>
      <c r="H120" s="12" t="n">
        <f aca="false">SUM(C120*G120)</f>
        <v>13.31925</v>
      </c>
    </row>
    <row r="121" customFormat="false" ht="47.25" hidden="false" customHeight="false" outlineLevel="0" collapsed="false">
      <c r="A121" s="4" t="s">
        <v>95</v>
      </c>
      <c r="B121" s="9" t="n">
        <v>2</v>
      </c>
      <c r="C121" s="88" t="n">
        <v>10000</v>
      </c>
      <c r="D121" s="88" t="n">
        <f aca="false">SUM(B121*C121)</f>
        <v>20000</v>
      </c>
      <c r="E121" s="9" t="n">
        <v>30183.97</v>
      </c>
      <c r="F121" s="12" t="n">
        <f aca="false">SUM(E121/8)</f>
        <v>3772.99625</v>
      </c>
      <c r="G121" s="89" t="n">
        <f aca="false">SUM(B121*0.05/E121*F121)</f>
        <v>0.0125</v>
      </c>
      <c r="H121" s="12" t="n">
        <f aca="false">SUM(C121*G121)</f>
        <v>125</v>
      </c>
    </row>
    <row r="122" customFormat="false" ht="47.25" hidden="false" customHeight="false" outlineLevel="0" collapsed="false">
      <c r="A122" s="4" t="s">
        <v>96</v>
      </c>
      <c r="B122" s="9" t="n">
        <v>1</v>
      </c>
      <c r="C122" s="88" t="n">
        <v>25000</v>
      </c>
      <c r="D122" s="88" t="n">
        <f aca="false">SUM(B122*C122)</f>
        <v>25000</v>
      </c>
      <c r="E122" s="9" t="n">
        <v>30183.97</v>
      </c>
      <c r="F122" s="12" t="n">
        <f aca="false">SUM(E122/8)</f>
        <v>3772.99625</v>
      </c>
      <c r="G122" s="89" t="n">
        <f aca="false">SUM(B122*0.05/E122*F122)</f>
        <v>0.00625</v>
      </c>
      <c r="H122" s="12" t="n">
        <f aca="false">SUM(C122*G122)</f>
        <v>156.25</v>
      </c>
    </row>
    <row r="123" customFormat="false" ht="47.25" hidden="false" customHeight="false" outlineLevel="0" collapsed="false">
      <c r="A123" s="4" t="s">
        <v>97</v>
      </c>
      <c r="B123" s="9" t="n">
        <v>1</v>
      </c>
      <c r="C123" s="88" t="n">
        <v>50000</v>
      </c>
      <c r="D123" s="88" t="n">
        <f aca="false">SUM(B123*C123)</f>
        <v>50000</v>
      </c>
      <c r="E123" s="9" t="n">
        <v>30183.97</v>
      </c>
      <c r="F123" s="12" t="n">
        <f aca="false">SUM(E123/8)</f>
        <v>3772.99625</v>
      </c>
      <c r="G123" s="89" t="n">
        <f aca="false">SUM(B123*0.05/E123*F123)</f>
        <v>0.00625</v>
      </c>
      <c r="H123" s="12" t="n">
        <f aca="false">SUM(C123*G123)</f>
        <v>312.5</v>
      </c>
    </row>
    <row r="124" customFormat="false" ht="31.5" hidden="false" customHeight="false" outlineLevel="0" collapsed="false">
      <c r="A124" s="4" t="s">
        <v>98</v>
      </c>
      <c r="B124" s="9" t="n">
        <v>1</v>
      </c>
      <c r="C124" s="88" t="n">
        <v>30000</v>
      </c>
      <c r="D124" s="88" t="n">
        <f aca="false">SUM(B124*C124)</f>
        <v>30000</v>
      </c>
      <c r="E124" s="9" t="n">
        <v>30183.97</v>
      </c>
      <c r="F124" s="12" t="n">
        <f aca="false">SUM(E124/8)</f>
        <v>3772.99625</v>
      </c>
      <c r="G124" s="89" t="n">
        <f aca="false">SUM(B124*0.05/E124*F124)</f>
        <v>0.00625</v>
      </c>
      <c r="H124" s="12" t="n">
        <f aca="false">SUM(C124*G124)</f>
        <v>187.5</v>
      </c>
    </row>
    <row r="125" customFormat="false" ht="31.5" hidden="false" customHeight="false" outlineLevel="0" collapsed="false">
      <c r="A125" s="4" t="s">
        <v>99</v>
      </c>
      <c r="B125" s="9" t="n">
        <v>12</v>
      </c>
      <c r="C125" s="88" t="n">
        <v>2730</v>
      </c>
      <c r="D125" s="88" t="n">
        <f aca="false">SUM(B125*C125)</f>
        <v>32760</v>
      </c>
      <c r="E125" s="9" t="n">
        <v>30183.97</v>
      </c>
      <c r="F125" s="12" t="n">
        <f aca="false">SUM(E125/8)</f>
        <v>3772.99625</v>
      </c>
      <c r="G125" s="89" t="n">
        <f aca="false">SUM(B125*0.05/E125*F125)</f>
        <v>0.075</v>
      </c>
      <c r="H125" s="12" t="n">
        <f aca="false">SUM(C125*G125)</f>
        <v>204.75</v>
      </c>
    </row>
    <row r="126" customFormat="false" ht="31.5" hidden="false" customHeight="false" outlineLevel="0" collapsed="false">
      <c r="A126" s="4" t="s">
        <v>100</v>
      </c>
      <c r="B126" s="9" t="n">
        <v>1</v>
      </c>
      <c r="C126" s="88" t="n">
        <v>10234</v>
      </c>
      <c r="D126" s="88" t="n">
        <f aca="false">SUM(B126*C126)</f>
        <v>10234</v>
      </c>
      <c r="E126" s="9" t="n">
        <v>30183.97</v>
      </c>
      <c r="F126" s="12" t="n">
        <f aca="false">SUM(E126/8)</f>
        <v>3772.99625</v>
      </c>
      <c r="G126" s="89" t="n">
        <f aca="false">SUM(B126*0.05/E126*F126)</f>
        <v>0.00625</v>
      </c>
      <c r="H126" s="12" t="n">
        <f aca="false">SUM(C126*G126)</f>
        <v>63.9625</v>
      </c>
    </row>
    <row r="127" customFormat="false" ht="31.5" hidden="false" customHeight="false" outlineLevel="0" collapsed="false">
      <c r="A127" s="4" t="s">
        <v>101</v>
      </c>
      <c r="B127" s="9" t="n">
        <v>12</v>
      </c>
      <c r="C127" s="88" t="n">
        <v>1376</v>
      </c>
      <c r="D127" s="88" t="n">
        <f aca="false">SUM(B127*C127)</f>
        <v>16512</v>
      </c>
      <c r="E127" s="9" t="n">
        <v>30183.97</v>
      </c>
      <c r="F127" s="12" t="n">
        <f aca="false">SUM(E127/8)</f>
        <v>3772.99625</v>
      </c>
      <c r="G127" s="89" t="n">
        <f aca="false">SUM(B127*0.05/E127*F127)</f>
        <v>0.075</v>
      </c>
      <c r="H127" s="12" t="n">
        <f aca="false">SUM(C127*G127)</f>
        <v>103.2</v>
      </c>
    </row>
    <row r="128" customFormat="false" ht="15.75" hidden="false" customHeight="false" outlineLevel="0" collapsed="false">
      <c r="A128" s="4"/>
      <c r="B128" s="9"/>
      <c r="C128" s="88"/>
      <c r="D128" s="88" t="n">
        <f aca="false">SUM(B128*C128)</f>
        <v>0</v>
      </c>
      <c r="E128" s="9"/>
      <c r="F128" s="12" t="n">
        <f aca="false">SUM(E128/8)</f>
        <v>0</v>
      </c>
      <c r="G128" s="89"/>
      <c r="H128" s="12"/>
    </row>
    <row r="129" customFormat="false" ht="15.75" hidden="false" customHeight="false" outlineLevel="0" collapsed="false">
      <c r="A129" s="4"/>
      <c r="B129" s="9"/>
      <c r="C129" s="88"/>
      <c r="D129" s="88" t="n">
        <f aca="false">SUM(B129*C129)</f>
        <v>0</v>
      </c>
      <c r="E129" s="9"/>
      <c r="F129" s="12" t="n">
        <f aca="false">SUM(E129/8)</f>
        <v>0</v>
      </c>
      <c r="G129" s="89"/>
      <c r="H129" s="12"/>
    </row>
    <row r="130" customFormat="false" ht="15.75" hidden="false" customHeight="false" outlineLevel="0" collapsed="false">
      <c r="A130" s="4" t="s">
        <v>102</v>
      </c>
      <c r="B130" s="9" t="n">
        <v>1</v>
      </c>
      <c r="C130" s="88" t="n">
        <v>5000</v>
      </c>
      <c r="D130" s="88" t="n">
        <f aca="false">SUM(B130*C130)</f>
        <v>5000</v>
      </c>
      <c r="E130" s="9" t="n">
        <v>30183.97</v>
      </c>
      <c r="F130" s="12" t="n">
        <f aca="false">SUM(E130/8)</f>
        <v>3772.99625</v>
      </c>
      <c r="G130" s="89" t="n">
        <f aca="false">SUM(B130*0.05/E130*F130)</f>
        <v>0.00625</v>
      </c>
      <c r="H130" s="12" t="n">
        <f aca="false">SUM(C130*G130)</f>
        <v>31.25</v>
      </c>
    </row>
    <row r="131" customFormat="false" ht="15.75" hidden="false" customHeight="false" outlineLevel="0" collapsed="false">
      <c r="A131" s="4" t="s">
        <v>103</v>
      </c>
      <c r="B131" s="9" t="n">
        <v>1</v>
      </c>
      <c r="C131" s="88" t="n">
        <v>5040</v>
      </c>
      <c r="D131" s="88" t="n">
        <f aca="false">SUM(B131*C131)</f>
        <v>5040</v>
      </c>
      <c r="E131" s="9" t="n">
        <v>30183.97</v>
      </c>
      <c r="F131" s="12" t="n">
        <f aca="false">SUM(E131/8)</f>
        <v>3772.99625</v>
      </c>
      <c r="G131" s="89" t="n">
        <f aca="false">SUM(B131*0.05/E131*F131)</f>
        <v>0.00625</v>
      </c>
      <c r="H131" s="12" t="n">
        <f aca="false">SUM(C131*G131)</f>
        <v>31.5</v>
      </c>
    </row>
    <row r="132" customFormat="false" ht="15.75" hidden="false" customHeight="true" outlineLevel="0" collapsed="false">
      <c r="A132" s="90" t="s">
        <v>104</v>
      </c>
      <c r="B132" s="90"/>
      <c r="C132" s="90"/>
      <c r="D132" s="90"/>
      <c r="E132" s="90"/>
      <c r="F132" s="90"/>
      <c r="G132" s="90"/>
      <c r="H132" s="44" t="n">
        <f aca="false">SUM(H116:H129)</f>
        <v>1331.65425</v>
      </c>
    </row>
    <row r="134" customFormat="false" ht="37.5" hidden="false" customHeight="true" outlineLevel="0" collapsed="false">
      <c r="A134" s="2" t="s">
        <v>69</v>
      </c>
      <c r="B134" s="2"/>
      <c r="C134" s="2"/>
      <c r="D134" s="2"/>
      <c r="E134" s="2"/>
      <c r="F134" s="2"/>
      <c r="G134" s="2"/>
      <c r="H134" s="2"/>
    </row>
    <row r="135" customFormat="false" ht="15.75" hidden="false" customHeight="false" outlineLevel="0" collapsed="false">
      <c r="A135" s="9"/>
      <c r="B135" s="9"/>
      <c r="C135" s="88"/>
      <c r="D135" s="88" t="n">
        <f aca="false">SUM(B135*C135)</f>
        <v>0</v>
      </c>
      <c r="E135" s="9"/>
      <c r="F135" s="9"/>
      <c r="G135" s="89"/>
      <c r="H135" s="12"/>
    </row>
    <row r="136" customFormat="false" ht="15.75" hidden="false" customHeight="false" outlineLevel="0" collapsed="false">
      <c r="A136" s="4"/>
      <c r="B136" s="9"/>
      <c r="C136" s="88"/>
      <c r="D136" s="88" t="n">
        <f aca="false">SUM(B136*C136)</f>
        <v>0</v>
      </c>
      <c r="E136" s="9"/>
      <c r="F136" s="9"/>
      <c r="G136" s="89"/>
      <c r="H136" s="12"/>
    </row>
    <row r="137" customFormat="false" ht="15.75" hidden="false" customHeight="false" outlineLevel="0" collapsed="false">
      <c r="A137" s="9" t="s">
        <v>92</v>
      </c>
      <c r="B137" s="9" t="n">
        <v>4</v>
      </c>
      <c r="C137" s="88" t="n">
        <v>3300</v>
      </c>
      <c r="D137" s="88" t="n">
        <f aca="false">SUM(B137*C137)</f>
        <v>13200</v>
      </c>
      <c r="E137" s="9" t="n">
        <v>30183.97</v>
      </c>
      <c r="F137" s="12" t="n">
        <f aca="false">SUM(E137/12)</f>
        <v>2515.33083333333</v>
      </c>
      <c r="G137" s="89" t="n">
        <f aca="false">SUM(B137*0.08/E137*F137)</f>
        <v>0.0266666666666667</v>
      </c>
      <c r="H137" s="12" t="n">
        <f aca="false">SUM(C137*G137)</f>
        <v>88</v>
      </c>
    </row>
    <row r="138" customFormat="false" ht="15.75" hidden="false" customHeight="false" outlineLevel="0" collapsed="false">
      <c r="A138" s="9" t="s">
        <v>93</v>
      </c>
      <c r="B138" s="9" t="n">
        <v>12</v>
      </c>
      <c r="C138" s="88" t="n">
        <v>1102.3</v>
      </c>
      <c r="D138" s="88" t="n">
        <f aca="false">SUM(B138*C138)</f>
        <v>13227.6</v>
      </c>
      <c r="E138" s="9" t="n">
        <v>30183.97</v>
      </c>
      <c r="F138" s="12" t="n">
        <f aca="false">SUM(E138/12)</f>
        <v>2515.33083333333</v>
      </c>
      <c r="G138" s="89" t="n">
        <f aca="false">SUM(B138*0.08/E138*F138)</f>
        <v>0.08</v>
      </c>
      <c r="H138" s="12" t="n">
        <f aca="false">SUM(C138*G138)</f>
        <v>88.184</v>
      </c>
    </row>
    <row r="139" customFormat="false" ht="15.75" hidden="false" customHeight="false" outlineLevel="0" collapsed="false">
      <c r="A139" s="9" t="s">
        <v>94</v>
      </c>
      <c r="B139" s="9" t="n">
        <v>12</v>
      </c>
      <c r="C139" s="88" t="n">
        <v>177.59</v>
      </c>
      <c r="D139" s="88" t="n">
        <f aca="false">SUM(B139*C139)</f>
        <v>2131.08</v>
      </c>
      <c r="E139" s="9" t="n">
        <v>30183.97</v>
      </c>
      <c r="F139" s="12" t="n">
        <f aca="false">SUM(E139/12)</f>
        <v>2515.33083333333</v>
      </c>
      <c r="G139" s="89" t="n">
        <f aca="false">SUM(B139*0.08/E139*F139)</f>
        <v>0.08</v>
      </c>
      <c r="H139" s="12" t="n">
        <f aca="false">SUM(C139*G139)</f>
        <v>14.2072</v>
      </c>
    </row>
    <row r="140" customFormat="false" ht="47.25" hidden="false" customHeight="false" outlineLevel="0" collapsed="false">
      <c r="A140" s="4" t="s">
        <v>95</v>
      </c>
      <c r="B140" s="9" t="n">
        <v>2</v>
      </c>
      <c r="C140" s="88" t="n">
        <v>10000</v>
      </c>
      <c r="D140" s="88" t="n">
        <f aca="false">SUM(B140*C140)</f>
        <v>20000</v>
      </c>
      <c r="E140" s="9" t="n">
        <v>30183.97</v>
      </c>
      <c r="F140" s="12" t="n">
        <f aca="false">SUM(E140/12)</f>
        <v>2515.33083333333</v>
      </c>
      <c r="G140" s="89" t="n">
        <f aca="false">SUM(B140*0.08/E140*F140)</f>
        <v>0.0133333333333333</v>
      </c>
      <c r="H140" s="12" t="n">
        <f aca="false">SUM(C140*G140)</f>
        <v>133.333333333333</v>
      </c>
    </row>
    <row r="141" customFormat="false" ht="47.25" hidden="false" customHeight="false" outlineLevel="0" collapsed="false">
      <c r="A141" s="4" t="s">
        <v>96</v>
      </c>
      <c r="B141" s="9" t="n">
        <v>1</v>
      </c>
      <c r="C141" s="88" t="n">
        <v>25000</v>
      </c>
      <c r="D141" s="88" t="n">
        <f aca="false">SUM(B141*C141)</f>
        <v>25000</v>
      </c>
      <c r="E141" s="9" t="n">
        <v>30183.97</v>
      </c>
      <c r="F141" s="12" t="n">
        <f aca="false">SUM(E141/12)</f>
        <v>2515.33083333333</v>
      </c>
      <c r="G141" s="89" t="n">
        <f aca="false">SUM(B141*0.08/E141*F141)</f>
        <v>0.00666666666666667</v>
      </c>
      <c r="H141" s="12" t="n">
        <f aca="false">SUM(C141*G141)</f>
        <v>166.666666666667</v>
      </c>
    </row>
    <row r="142" customFormat="false" ht="47.25" hidden="false" customHeight="false" outlineLevel="0" collapsed="false">
      <c r="A142" s="4" t="s">
        <v>97</v>
      </c>
      <c r="B142" s="9" t="n">
        <v>1</v>
      </c>
      <c r="C142" s="88" t="n">
        <v>50000</v>
      </c>
      <c r="D142" s="88" t="n">
        <f aca="false">SUM(B142*C142)</f>
        <v>50000</v>
      </c>
      <c r="E142" s="9" t="n">
        <v>30183.97</v>
      </c>
      <c r="F142" s="12" t="n">
        <f aca="false">SUM(E142/12)</f>
        <v>2515.33083333333</v>
      </c>
      <c r="G142" s="89" t="n">
        <f aca="false">SUM(B142*0.08/E142*F142)</f>
        <v>0.00666666666666667</v>
      </c>
      <c r="H142" s="12" t="n">
        <f aca="false">SUM(C142*G142)</f>
        <v>333.333333333333</v>
      </c>
    </row>
    <row r="143" customFormat="false" ht="31.5" hidden="false" customHeight="false" outlineLevel="0" collapsed="false">
      <c r="A143" s="4" t="s">
        <v>98</v>
      </c>
      <c r="B143" s="9" t="n">
        <v>1</v>
      </c>
      <c r="C143" s="88" t="n">
        <v>30000</v>
      </c>
      <c r="D143" s="88" t="n">
        <f aca="false">SUM(B143*C143)</f>
        <v>30000</v>
      </c>
      <c r="E143" s="9" t="n">
        <v>30183.97</v>
      </c>
      <c r="F143" s="12" t="n">
        <f aca="false">SUM(E143/12)</f>
        <v>2515.33083333333</v>
      </c>
      <c r="G143" s="89" t="n">
        <f aca="false">SUM(B143*0.08/E143*F143)</f>
        <v>0.00666666666666667</v>
      </c>
      <c r="H143" s="12" t="n">
        <f aca="false">SUM(C143*G143)</f>
        <v>200</v>
      </c>
    </row>
    <row r="144" customFormat="false" ht="31.5" hidden="false" customHeight="false" outlineLevel="0" collapsed="false">
      <c r="A144" s="4" t="s">
        <v>99</v>
      </c>
      <c r="B144" s="9" t="n">
        <v>12</v>
      </c>
      <c r="C144" s="88" t="n">
        <v>2730</v>
      </c>
      <c r="D144" s="88" t="n">
        <f aca="false">SUM(B144*C144)</f>
        <v>32760</v>
      </c>
      <c r="E144" s="9" t="n">
        <v>30183.97</v>
      </c>
      <c r="F144" s="12" t="n">
        <f aca="false">SUM(E144/12)</f>
        <v>2515.33083333333</v>
      </c>
      <c r="G144" s="89" t="n">
        <f aca="false">SUM(B144*0.08/E144*F144)</f>
        <v>0.08</v>
      </c>
      <c r="H144" s="12" t="n">
        <f aca="false">SUM(C144*G144)</f>
        <v>218.4</v>
      </c>
    </row>
    <row r="145" customFormat="false" ht="31.5" hidden="false" customHeight="false" outlineLevel="0" collapsed="false">
      <c r="A145" s="4" t="s">
        <v>100</v>
      </c>
      <c r="B145" s="9" t="n">
        <v>1</v>
      </c>
      <c r="C145" s="88" t="n">
        <v>10234</v>
      </c>
      <c r="D145" s="88" t="n">
        <f aca="false">SUM(B145*C145)</f>
        <v>10234</v>
      </c>
      <c r="E145" s="9" t="n">
        <v>30183.97</v>
      </c>
      <c r="F145" s="12" t="n">
        <f aca="false">SUM(E145/12)</f>
        <v>2515.33083333333</v>
      </c>
      <c r="G145" s="89" t="n">
        <f aca="false">SUM(B145*0.08/E145*F145)</f>
        <v>0.00666666666666667</v>
      </c>
      <c r="H145" s="12" t="n">
        <f aca="false">SUM(C145*G145)</f>
        <v>68.2266666666667</v>
      </c>
    </row>
    <row r="146" customFormat="false" ht="31.5" hidden="false" customHeight="false" outlineLevel="0" collapsed="false">
      <c r="A146" s="4" t="s">
        <v>101</v>
      </c>
      <c r="B146" s="9" t="n">
        <v>12</v>
      </c>
      <c r="C146" s="88" t="n">
        <v>1376</v>
      </c>
      <c r="D146" s="88" t="n">
        <f aca="false">SUM(B146*C146)</f>
        <v>16512</v>
      </c>
      <c r="E146" s="9" t="n">
        <v>30183.97</v>
      </c>
      <c r="F146" s="12" t="n">
        <f aca="false">SUM(E146/12)</f>
        <v>2515.33083333333</v>
      </c>
      <c r="G146" s="89" t="n">
        <f aca="false">SUM(B146*0.08/E146*F146)</f>
        <v>0.08</v>
      </c>
      <c r="H146" s="12" t="n">
        <f aca="false">SUM(C146*G146)</f>
        <v>110.08</v>
      </c>
    </row>
    <row r="147" customFormat="false" ht="15.75" hidden="false" customHeight="false" outlineLevel="0" collapsed="false">
      <c r="A147" s="4"/>
      <c r="B147" s="9"/>
      <c r="C147" s="88"/>
      <c r="D147" s="88" t="n">
        <f aca="false">SUM(B147*C147)</f>
        <v>0</v>
      </c>
      <c r="E147" s="9"/>
      <c r="F147" s="12" t="n">
        <f aca="false">SUM(E147/12)</f>
        <v>0</v>
      </c>
      <c r="G147" s="89"/>
      <c r="H147" s="12"/>
    </row>
    <row r="148" customFormat="false" ht="15.75" hidden="false" customHeight="false" outlineLevel="0" collapsed="false">
      <c r="A148" s="4"/>
      <c r="B148" s="9"/>
      <c r="C148" s="88"/>
      <c r="D148" s="88" t="n">
        <f aca="false">SUM(B148*C148)</f>
        <v>0</v>
      </c>
      <c r="E148" s="9"/>
      <c r="F148" s="12" t="n">
        <f aca="false">SUM(E148/12)</f>
        <v>0</v>
      </c>
      <c r="G148" s="89"/>
      <c r="H148" s="12"/>
    </row>
    <row r="149" customFormat="false" ht="15.75" hidden="false" customHeight="false" outlineLevel="0" collapsed="false">
      <c r="A149" s="4" t="s">
        <v>102</v>
      </c>
      <c r="B149" s="9" t="n">
        <v>1</v>
      </c>
      <c r="C149" s="88" t="n">
        <v>5000</v>
      </c>
      <c r="D149" s="88" t="n">
        <f aca="false">SUM(B149*C149)</f>
        <v>5000</v>
      </c>
      <c r="E149" s="9" t="n">
        <v>30183.97</v>
      </c>
      <c r="F149" s="12" t="n">
        <f aca="false">SUM(E149/12)</f>
        <v>2515.33083333333</v>
      </c>
      <c r="G149" s="89" t="n">
        <f aca="false">SUM(B149*0.08/E149*F149)</f>
        <v>0.00666666666666667</v>
      </c>
      <c r="H149" s="12" t="n">
        <f aca="false">SUM(C149*G149)</f>
        <v>33.3333333333333</v>
      </c>
    </row>
    <row r="150" customFormat="false" ht="15.75" hidden="false" customHeight="false" outlineLevel="0" collapsed="false">
      <c r="A150" s="4" t="s">
        <v>103</v>
      </c>
      <c r="B150" s="9" t="n">
        <v>1</v>
      </c>
      <c r="C150" s="88" t="n">
        <v>5040</v>
      </c>
      <c r="D150" s="88" t="n">
        <f aca="false">SUM(B150*C150)</f>
        <v>5040</v>
      </c>
      <c r="E150" s="9" t="n">
        <v>30183.97</v>
      </c>
      <c r="F150" s="12" t="n">
        <f aca="false">SUM(E150/12)</f>
        <v>2515.33083333333</v>
      </c>
      <c r="G150" s="89" t="n">
        <f aca="false">SUM(B150*0.08/E150*F150)</f>
        <v>0.00666666666666667</v>
      </c>
      <c r="H150" s="12" t="n">
        <f aca="false">SUM(C150*G150)</f>
        <v>33.6</v>
      </c>
    </row>
    <row r="151" customFormat="false" ht="15.75" hidden="false" customHeight="true" outlineLevel="0" collapsed="false">
      <c r="A151" s="90" t="s">
        <v>104</v>
      </c>
      <c r="B151" s="90"/>
      <c r="C151" s="90"/>
      <c r="D151" s="90"/>
      <c r="E151" s="90"/>
      <c r="F151" s="90"/>
      <c r="G151" s="90"/>
      <c r="H151" s="44" t="n">
        <f aca="false">SUM(H135:H148)</f>
        <v>1420.4312</v>
      </c>
    </row>
  </sheetData>
  <mergeCells count="17">
    <mergeCell ref="A1:H1"/>
    <mergeCell ref="A3:H3"/>
    <mergeCell ref="A18:G18"/>
    <mergeCell ref="A20:H20"/>
    <mergeCell ref="A37:G37"/>
    <mergeCell ref="A39:H39"/>
    <mergeCell ref="A56:G56"/>
    <mergeCell ref="A58:H58"/>
    <mergeCell ref="A75:G75"/>
    <mergeCell ref="A77:H77"/>
    <mergeCell ref="A94:G94"/>
    <mergeCell ref="A96:H96"/>
    <mergeCell ref="A113:G113"/>
    <mergeCell ref="A115:H115"/>
    <mergeCell ref="A132:G132"/>
    <mergeCell ref="A134:H134"/>
    <mergeCell ref="A151:G15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3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I20"/>
  <sheetViews>
    <sheetView showFormulas="false" showGridLines="true" showRowColHeaders="true" showZeros="true" rightToLeft="false" tabSelected="false" showOutlineSymbols="true" defaultGridColor="true" view="normal" topLeftCell="A16" colorId="64" zoomScale="75" zoomScaleNormal="75" zoomScalePageLayoutView="100" workbookViewId="0">
      <selection pane="topLeft" activeCell="J3" activeCellId="0" sqref="J3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28.14"/>
    <col collapsed="false" customWidth="true" hidden="false" outlineLevel="0" max="3" min="3" style="0" width="8.71"/>
    <col collapsed="false" customWidth="true" hidden="false" outlineLevel="0" max="4" min="4" style="0" width="6.88"/>
    <col collapsed="false" customWidth="true" hidden="false" outlineLevel="0" max="5" min="5" style="0" width="10.99"/>
    <col collapsed="false" customWidth="true" hidden="false" outlineLevel="0" max="6" min="6" style="0" width="10.58"/>
    <col collapsed="false" customWidth="true" hidden="false" outlineLevel="0" max="7" min="7" style="0" width="10"/>
    <col collapsed="false" customWidth="true" hidden="false" outlineLevel="0" max="8" min="8" style="0" width="7.57"/>
    <col collapsed="false" customWidth="false" hidden="false" outlineLevel="0" max="9" min="9" style="0" width="11.42"/>
    <col collapsed="false" customWidth="true" hidden="false" outlineLevel="0" max="1025" min="10" style="0" width="8.71"/>
  </cols>
  <sheetData>
    <row r="1" s="95" customFormat="true" ht="24" hidden="false" customHeight="true" outlineLevel="0" collapsed="false">
      <c r="B1" s="96" t="s">
        <v>105</v>
      </c>
      <c r="C1" s="96"/>
      <c r="D1" s="96"/>
      <c r="E1" s="96"/>
      <c r="F1" s="96"/>
      <c r="G1" s="96"/>
      <c r="H1" s="96"/>
      <c r="I1" s="96"/>
    </row>
    <row r="2" customFormat="false" ht="24" hidden="false" customHeight="true" outlineLevel="0" collapsed="false">
      <c r="B2" s="97" t="s">
        <v>106</v>
      </c>
      <c r="C2" s="29" t="s">
        <v>107</v>
      </c>
      <c r="D2" s="29" t="s">
        <v>49</v>
      </c>
      <c r="E2" s="29" t="s">
        <v>90</v>
      </c>
      <c r="F2" s="29" t="s">
        <v>54</v>
      </c>
      <c r="G2" s="29" t="s">
        <v>91</v>
      </c>
      <c r="H2" s="29" t="s">
        <v>51</v>
      </c>
      <c r="I2" s="29" t="s">
        <v>52</v>
      </c>
    </row>
    <row r="3" customFormat="false" ht="142.5" hidden="false" customHeight="true" outlineLevel="0" collapsed="false">
      <c r="B3" s="97"/>
      <c r="C3" s="29"/>
      <c r="D3" s="29"/>
      <c r="E3" s="29"/>
      <c r="F3" s="29"/>
      <c r="G3" s="29"/>
      <c r="H3" s="29"/>
      <c r="I3" s="29"/>
    </row>
    <row r="4" customFormat="false" ht="63" hidden="false" customHeight="false" outlineLevel="0" collapsed="false">
      <c r="B4" s="29" t="s">
        <v>108</v>
      </c>
      <c r="C4" s="29" t="s">
        <v>109</v>
      </c>
      <c r="D4" s="26" t="n">
        <v>10</v>
      </c>
      <c r="E4" s="26" t="n">
        <v>30183.97</v>
      </c>
      <c r="F4" s="26" t="n">
        <v>252.25</v>
      </c>
      <c r="G4" s="26" t="n">
        <f aca="false">SUM(D4/E4*F4)</f>
        <v>0.0835708490301309</v>
      </c>
      <c r="H4" s="26" t="n">
        <v>350</v>
      </c>
      <c r="I4" s="98" t="n">
        <f aca="false">SUM(G4*H4)</f>
        <v>29.2497971605458</v>
      </c>
    </row>
    <row r="5" customFormat="false" ht="15.75" hidden="false" customHeight="true" outlineLevel="0" collapsed="false">
      <c r="B5" s="99" t="s">
        <v>110</v>
      </c>
      <c r="C5" s="99"/>
      <c r="D5" s="99"/>
      <c r="E5" s="99"/>
      <c r="F5" s="99"/>
      <c r="G5" s="99"/>
      <c r="H5" s="99"/>
      <c r="I5" s="100" t="n">
        <f aca="false">I4</f>
        <v>29.2497971605458</v>
      </c>
    </row>
    <row r="6" customFormat="false" ht="27" hidden="false" customHeight="true" outlineLevel="0" collapsed="false">
      <c r="B6" s="101"/>
      <c r="C6" s="101"/>
      <c r="D6" s="101"/>
      <c r="E6" s="101"/>
      <c r="F6" s="101"/>
      <c r="G6" s="101"/>
      <c r="H6" s="101"/>
      <c r="I6" s="101"/>
    </row>
    <row r="7" customFormat="false" ht="141.75" hidden="false" customHeight="false" outlineLevel="0" collapsed="false">
      <c r="B7" s="26" t="s">
        <v>106</v>
      </c>
      <c r="C7" s="29" t="s">
        <v>107</v>
      </c>
      <c r="D7" s="29" t="s">
        <v>49</v>
      </c>
      <c r="E7" s="29" t="s">
        <v>90</v>
      </c>
      <c r="F7" s="29" t="s">
        <v>54</v>
      </c>
      <c r="G7" s="29" t="s">
        <v>91</v>
      </c>
      <c r="H7" s="29" t="s">
        <v>51</v>
      </c>
      <c r="I7" s="29" t="s">
        <v>52</v>
      </c>
    </row>
    <row r="8" customFormat="false" ht="63" hidden="false" customHeight="false" outlineLevel="0" collapsed="false">
      <c r="B8" s="29" t="s">
        <v>111</v>
      </c>
      <c r="C8" s="29" t="s">
        <v>112</v>
      </c>
      <c r="D8" s="29" t="n">
        <v>1</v>
      </c>
      <c r="E8" s="26" t="n">
        <v>30183.97</v>
      </c>
      <c r="F8" s="26" t="n">
        <v>252.25</v>
      </c>
      <c r="G8" s="26" t="n">
        <f aca="false">SUM(D8/E8*F8)</f>
        <v>0.00835708490301309</v>
      </c>
      <c r="H8" s="29" t="n">
        <v>259.6</v>
      </c>
      <c r="I8" s="98" t="n">
        <f aca="false">SUM(G8*H8)</f>
        <v>2.1694992408222</v>
      </c>
    </row>
    <row r="9" customFormat="false" ht="63" hidden="false" customHeight="false" outlineLevel="0" collapsed="false">
      <c r="B9" s="29" t="s">
        <v>113</v>
      </c>
      <c r="C9" s="29" t="s">
        <v>112</v>
      </c>
      <c r="D9" s="29"/>
      <c r="E9" s="26"/>
      <c r="F9" s="26"/>
      <c r="G9" s="26"/>
      <c r="H9" s="29"/>
      <c r="I9" s="98"/>
    </row>
    <row r="10" customFormat="false" ht="63" hidden="false" customHeight="false" outlineLevel="0" collapsed="false">
      <c r="B10" s="29" t="s">
        <v>114</v>
      </c>
      <c r="C10" s="29" t="s">
        <v>112</v>
      </c>
      <c r="D10" s="29"/>
      <c r="E10" s="26"/>
      <c r="F10" s="26"/>
      <c r="G10" s="26"/>
      <c r="H10" s="29"/>
      <c r="I10" s="98"/>
    </row>
    <row r="11" customFormat="false" ht="63" hidden="false" customHeight="false" outlineLevel="0" collapsed="false">
      <c r="B11" s="29" t="s">
        <v>115</v>
      </c>
      <c r="C11" s="29" t="s">
        <v>112</v>
      </c>
      <c r="D11" s="29"/>
      <c r="E11" s="26"/>
      <c r="F11" s="26"/>
      <c r="G11" s="26"/>
      <c r="H11" s="29"/>
      <c r="I11" s="98"/>
    </row>
    <row r="12" customFormat="false" ht="63" hidden="false" customHeight="false" outlineLevel="0" collapsed="false">
      <c r="B12" s="29" t="s">
        <v>116</v>
      </c>
      <c r="C12" s="29" t="s">
        <v>112</v>
      </c>
      <c r="D12" s="26" t="n">
        <v>2</v>
      </c>
      <c r="E12" s="26" t="n">
        <v>30183.97</v>
      </c>
      <c r="F12" s="26" t="n">
        <v>252.25</v>
      </c>
      <c r="G12" s="26" t="n">
        <f aca="false">SUM(D12/E12*F12)</f>
        <v>0.0167141698060262</v>
      </c>
      <c r="H12" s="26" t="n">
        <v>650</v>
      </c>
      <c r="I12" s="98" t="n">
        <f aca="false">SUM(G12*H12)</f>
        <v>10.864210373917</v>
      </c>
    </row>
    <row r="13" customFormat="false" ht="15.75" hidden="false" customHeight="true" outlineLevel="0" collapsed="false">
      <c r="B13" s="99" t="s">
        <v>117</v>
      </c>
      <c r="C13" s="99"/>
      <c r="D13" s="99"/>
      <c r="E13" s="99"/>
      <c r="F13" s="99"/>
      <c r="G13" s="99"/>
      <c r="H13" s="99"/>
      <c r="I13" s="100" t="n">
        <f aca="false">SUM(I8:I12)</f>
        <v>13.0337096147392</v>
      </c>
    </row>
    <row r="14" customFormat="false" ht="15.75" hidden="false" customHeight="false" outlineLevel="0" collapsed="false">
      <c r="B14" s="101"/>
      <c r="C14" s="101"/>
      <c r="D14" s="101"/>
      <c r="E14" s="101"/>
      <c r="F14" s="101"/>
      <c r="G14" s="101"/>
      <c r="H14" s="101"/>
      <c r="I14" s="102"/>
    </row>
    <row r="15" customFormat="false" ht="15.75" hidden="false" customHeight="false" outlineLevel="0" collapsed="false">
      <c r="B15" s="101"/>
      <c r="C15" s="101"/>
      <c r="D15" s="101"/>
      <c r="E15" s="101"/>
      <c r="F15" s="101"/>
      <c r="G15" s="101"/>
      <c r="H15" s="101"/>
      <c r="I15" s="101"/>
    </row>
    <row r="16" customFormat="false" ht="141.75" hidden="false" customHeight="false" outlineLevel="0" collapsed="false">
      <c r="B16" s="26" t="s">
        <v>106</v>
      </c>
      <c r="C16" s="29" t="s">
        <v>107</v>
      </c>
      <c r="D16" s="29" t="s">
        <v>49</v>
      </c>
      <c r="E16" s="29" t="s">
        <v>90</v>
      </c>
      <c r="F16" s="29" t="s">
        <v>54</v>
      </c>
      <c r="G16" s="29" t="s">
        <v>91</v>
      </c>
      <c r="H16" s="29" t="s">
        <v>51</v>
      </c>
      <c r="I16" s="29" t="s">
        <v>52</v>
      </c>
    </row>
    <row r="17" customFormat="false" ht="15.75" hidden="false" customHeight="false" outlineLevel="0" collapsed="false">
      <c r="B17" s="29"/>
      <c r="C17" s="29"/>
      <c r="D17" s="26"/>
      <c r="E17" s="26"/>
      <c r="F17" s="26"/>
      <c r="G17" s="26"/>
      <c r="H17" s="26"/>
      <c r="I17" s="98"/>
    </row>
    <row r="18" customFormat="false" ht="15.75" hidden="false" customHeight="false" outlineLevel="0" collapsed="false">
      <c r="B18" s="29"/>
      <c r="C18" s="29"/>
      <c r="D18" s="26"/>
      <c r="E18" s="26"/>
      <c r="F18" s="26"/>
      <c r="G18" s="26"/>
      <c r="H18" s="26"/>
      <c r="I18" s="98"/>
    </row>
    <row r="19" customFormat="false" ht="63" hidden="false" customHeight="false" outlineLevel="0" collapsed="false">
      <c r="B19" s="29" t="s">
        <v>118</v>
      </c>
      <c r="C19" s="29" t="s">
        <v>119</v>
      </c>
      <c r="D19" s="26" t="n">
        <v>72</v>
      </c>
      <c r="E19" s="26" t="n">
        <v>30183.97</v>
      </c>
      <c r="F19" s="26" t="n">
        <v>252.25</v>
      </c>
      <c r="G19" s="26" t="n">
        <f aca="false">SUM(D19/E19*F19)</f>
        <v>0.601710113016942</v>
      </c>
      <c r="H19" s="26" t="n">
        <v>400</v>
      </c>
      <c r="I19" s="98" t="n">
        <f aca="false">SUM(G19*H19)</f>
        <v>240.684045206777</v>
      </c>
    </row>
    <row r="20" customFormat="false" ht="15.75" hidden="false" customHeight="true" outlineLevel="0" collapsed="false">
      <c r="B20" s="99" t="s">
        <v>120</v>
      </c>
      <c r="C20" s="99"/>
      <c r="D20" s="99"/>
      <c r="E20" s="99"/>
      <c r="F20" s="99"/>
      <c r="G20" s="99"/>
      <c r="H20" s="99"/>
      <c r="I20" s="100" t="n">
        <f aca="false">SUM(I17:I19)</f>
        <v>240.684045206777</v>
      </c>
    </row>
  </sheetData>
  <mergeCells count="12">
    <mergeCell ref="B1:I1"/>
    <mergeCell ref="B2:B3"/>
    <mergeCell ref="C2:C3"/>
    <mergeCell ref="D2:D3"/>
    <mergeCell ref="E2:E3"/>
    <mergeCell ref="F2:F3"/>
    <mergeCell ref="G2:G3"/>
    <mergeCell ref="H2:H3"/>
    <mergeCell ref="I2:I3"/>
    <mergeCell ref="B5:H5"/>
    <mergeCell ref="B13:H13"/>
    <mergeCell ref="B20:H2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8" activeCellId="0" sqref="H28"/>
    </sheetView>
  </sheetViews>
  <sheetFormatPr defaultRowHeight="15" zeroHeight="false" outlineLevelRow="0" outlineLevelCol="0"/>
  <cols>
    <col collapsed="false" customWidth="true" hidden="false" outlineLevel="0" max="1" min="1" style="0" width="28.57"/>
    <col collapsed="false" customWidth="true" hidden="false" outlineLevel="0" max="2" min="2" style="0" width="10"/>
    <col collapsed="false" customWidth="true" hidden="false" outlineLevel="0" max="3" min="3" style="0" width="9.42"/>
    <col collapsed="false" customWidth="true" hidden="false" outlineLevel="0" max="4" min="4" style="0" width="10.71"/>
    <col collapsed="false" customWidth="true" hidden="false" outlineLevel="0" max="5" min="5" style="0" width="10.99"/>
    <col collapsed="false" customWidth="true" hidden="false" outlineLevel="0" max="6" min="6" style="0" width="14.28"/>
    <col collapsed="false" customWidth="true" hidden="false" outlineLevel="0" max="7" min="7" style="0" width="10.58"/>
    <col collapsed="false" customWidth="true" hidden="false" outlineLevel="0" max="8" min="8" style="0" width="12.71"/>
    <col collapsed="false" customWidth="true" hidden="false" outlineLevel="0" max="1025" min="9" style="0" width="8.71"/>
  </cols>
  <sheetData>
    <row r="1" customFormat="false" ht="33.75" hidden="false" customHeight="true" outlineLevel="0" collapsed="false">
      <c r="A1" s="103" t="s">
        <v>121</v>
      </c>
      <c r="B1" s="103"/>
      <c r="C1" s="103"/>
      <c r="D1" s="103"/>
      <c r="E1" s="103"/>
      <c r="F1" s="103"/>
      <c r="G1" s="103"/>
      <c r="H1" s="103"/>
    </row>
    <row r="2" customFormat="false" ht="141.75" hidden="false" customHeight="false" outlineLevel="0" collapsed="false">
      <c r="A2" s="104" t="s">
        <v>122</v>
      </c>
      <c r="B2" s="105" t="s">
        <v>30</v>
      </c>
      <c r="C2" s="105" t="s">
        <v>123</v>
      </c>
      <c r="D2" s="105" t="s">
        <v>90</v>
      </c>
      <c r="E2" s="105" t="s">
        <v>54</v>
      </c>
      <c r="F2" s="105" t="s">
        <v>77</v>
      </c>
      <c r="G2" s="105" t="s">
        <v>124</v>
      </c>
      <c r="H2" s="106" t="s">
        <v>52</v>
      </c>
    </row>
    <row r="3" customFormat="false" ht="15.75" hidden="false" customHeight="false" outlineLevel="0" collapsed="false">
      <c r="A3" s="25" t="s">
        <v>34</v>
      </c>
      <c r="B3" s="26" t="n">
        <v>1</v>
      </c>
      <c r="C3" s="26" t="n">
        <v>34000.49</v>
      </c>
      <c r="D3" s="26" t="n">
        <v>30183.97</v>
      </c>
      <c r="E3" s="107" t="n">
        <f aca="false">D3/133</f>
        <v>226.947142857143</v>
      </c>
      <c r="F3" s="108" t="n">
        <f aca="false">SUM(B3/D3*E3)</f>
        <v>0.0075187969924812</v>
      </c>
      <c r="G3" s="26" t="n">
        <f aca="false">SUM(C3*12*1.302)</f>
        <v>531223.65576</v>
      </c>
      <c r="H3" s="109" t="n">
        <f aca="false">SUM(G3*F3)/B3</f>
        <v>3994.16282526316</v>
      </c>
    </row>
    <row r="4" customFormat="false" ht="15.75" hidden="false" customHeight="false" outlineLevel="0" collapsed="false">
      <c r="A4" s="25" t="s">
        <v>36</v>
      </c>
      <c r="B4" s="26" t="n">
        <v>1</v>
      </c>
      <c r="C4" s="26" t="n">
        <v>19581.7</v>
      </c>
      <c r="D4" s="26" t="n">
        <v>30183.97</v>
      </c>
      <c r="E4" s="107" t="n">
        <f aca="false">D4/133</f>
        <v>226.947142857143</v>
      </c>
      <c r="F4" s="108" t="n">
        <f aca="false">SUM(B4/D4*E4)</f>
        <v>0.0075187969924812</v>
      </c>
      <c r="G4" s="26" t="n">
        <f aca="false">SUM(C4*12*1.302)</f>
        <v>305944.4808</v>
      </c>
      <c r="H4" s="109" t="n">
        <f aca="false">SUM(G4*F4)/B4</f>
        <v>2300.33444210526</v>
      </c>
    </row>
    <row r="5" customFormat="false" ht="15.75" hidden="false" customHeight="false" outlineLevel="0" collapsed="false">
      <c r="A5" s="25" t="s">
        <v>37</v>
      </c>
      <c r="B5" s="26" t="n">
        <v>1</v>
      </c>
      <c r="C5" s="110" t="n">
        <v>18418.95</v>
      </c>
      <c r="D5" s="26" t="n">
        <v>30183.97</v>
      </c>
      <c r="E5" s="107" t="n">
        <f aca="false">D5/133</f>
        <v>226.947142857143</v>
      </c>
      <c r="F5" s="108" t="n">
        <f aca="false">SUM(B5/D5*E5)</f>
        <v>0.0075187969924812</v>
      </c>
      <c r="G5" s="26" t="n">
        <f aca="false">SUM(C5*12*1.302)</f>
        <v>287777.6748</v>
      </c>
      <c r="H5" s="109" t="n">
        <f aca="false">SUM(G5*F5)/B5</f>
        <v>2163.74191578947</v>
      </c>
    </row>
    <row r="6" customFormat="false" ht="15.75" hidden="false" customHeight="false" outlineLevel="0" collapsed="false">
      <c r="A6" s="25" t="s">
        <v>38</v>
      </c>
      <c r="B6" s="26" t="n">
        <v>1</v>
      </c>
      <c r="C6" s="110" t="n">
        <v>18418.95</v>
      </c>
      <c r="D6" s="26" t="n">
        <v>30183.97</v>
      </c>
      <c r="E6" s="107" t="n">
        <f aca="false">D6/133</f>
        <v>226.947142857143</v>
      </c>
      <c r="F6" s="108" t="n">
        <f aca="false">SUM(B6/D6*E6)</f>
        <v>0.0075187969924812</v>
      </c>
      <c r="G6" s="26" t="n">
        <f aca="false">SUM(C6*12*1.302)</f>
        <v>287777.6748</v>
      </c>
      <c r="H6" s="109" t="n">
        <f aca="false">SUM(G6*F6)/B6</f>
        <v>2163.74191578947</v>
      </c>
    </row>
    <row r="7" customFormat="false" ht="15.75" hidden="false" customHeight="false" outlineLevel="0" collapsed="false">
      <c r="A7" s="25" t="s">
        <v>39</v>
      </c>
      <c r="B7" s="26" t="n">
        <v>2</v>
      </c>
      <c r="C7" s="26" t="n">
        <v>36837.9</v>
      </c>
      <c r="D7" s="26" t="n">
        <v>30183.97</v>
      </c>
      <c r="E7" s="107" t="n">
        <f aca="false">D7/133</f>
        <v>226.947142857143</v>
      </c>
      <c r="F7" s="108" t="n">
        <f aca="false">SUM(B7/D7*E7)</f>
        <v>0.0150375939849624</v>
      </c>
      <c r="G7" s="26" t="n">
        <f aca="false">SUM(C7*12*1.302)</f>
        <v>575555.3496</v>
      </c>
      <c r="H7" s="109" t="n">
        <f aca="false">SUM(G7*F7)/B7</f>
        <v>4327.48383157895</v>
      </c>
    </row>
    <row r="8" customFormat="false" ht="15.75" hidden="false" customHeight="false" outlineLevel="0" collapsed="false">
      <c r="A8" s="25" t="s">
        <v>40</v>
      </c>
      <c r="B8" s="26" t="n">
        <v>2.5</v>
      </c>
      <c r="C8" s="26" t="n">
        <v>46047.37</v>
      </c>
      <c r="D8" s="26" t="n">
        <v>30183.97</v>
      </c>
      <c r="E8" s="107" t="n">
        <f aca="false">D8/133</f>
        <v>226.947142857143</v>
      </c>
      <c r="F8" s="108" t="n">
        <f aca="false">SUM(B8/D8*E8)</f>
        <v>0.018796992481203</v>
      </c>
      <c r="G8" s="26" t="n">
        <f aca="false">SUM(C8*12*1.302)</f>
        <v>719444.10888</v>
      </c>
      <c r="H8" s="109" t="n">
        <f aca="false">SUM(G8*F8)/B8</f>
        <v>5409.35420210526</v>
      </c>
    </row>
    <row r="9" customFormat="false" ht="15.75" hidden="false" customHeight="false" outlineLevel="0" collapsed="false">
      <c r="A9" s="25" t="s">
        <v>41</v>
      </c>
      <c r="B9" s="26" t="n">
        <v>2</v>
      </c>
      <c r="C9" s="26" t="n">
        <v>36837.9</v>
      </c>
      <c r="D9" s="26" t="n">
        <v>30183.97</v>
      </c>
      <c r="E9" s="107" t="n">
        <f aca="false">D9/133</f>
        <v>226.947142857143</v>
      </c>
      <c r="F9" s="108" t="n">
        <f aca="false">SUM(B9/D9*E9)</f>
        <v>0.0150375939849624</v>
      </c>
      <c r="G9" s="26" t="n">
        <f aca="false">SUM(C9*12*1.302)</f>
        <v>575555.3496</v>
      </c>
      <c r="H9" s="109" t="n">
        <f aca="false">SUM(G9*F9)/B9</f>
        <v>4327.48383157895</v>
      </c>
    </row>
    <row r="10" customFormat="false" ht="31.5" hidden="false" customHeight="false" outlineLevel="0" collapsed="false">
      <c r="A10" s="28" t="s">
        <v>42</v>
      </c>
      <c r="B10" s="26" t="n">
        <v>1</v>
      </c>
      <c r="C10" s="26" t="n">
        <v>18418.95</v>
      </c>
      <c r="D10" s="26" t="n">
        <v>30183.97</v>
      </c>
      <c r="E10" s="107" t="n">
        <f aca="false">D10/133</f>
        <v>226.947142857143</v>
      </c>
      <c r="F10" s="108" t="n">
        <f aca="false">SUM(B10/D10*E10)</f>
        <v>0.0075187969924812</v>
      </c>
      <c r="G10" s="26" t="n">
        <f aca="false">SUM(C10*12*1.302)</f>
        <v>287777.6748</v>
      </c>
      <c r="H10" s="109" t="n">
        <f aca="false">SUM(G10*F10)/B10</f>
        <v>2163.74191578947</v>
      </c>
    </row>
    <row r="11" customFormat="false" ht="15.75" hidden="false" customHeight="false" outlineLevel="0" collapsed="false">
      <c r="A11" s="28"/>
      <c r="B11" s="26"/>
      <c r="C11" s="26"/>
      <c r="D11" s="26"/>
      <c r="E11" s="26"/>
      <c r="F11" s="108"/>
      <c r="G11" s="26"/>
      <c r="H11" s="109"/>
    </row>
    <row r="12" customFormat="false" ht="15.75" hidden="false" customHeight="false" outlineLevel="0" collapsed="false">
      <c r="A12" s="28"/>
      <c r="B12" s="26"/>
      <c r="C12" s="26"/>
      <c r="D12" s="26"/>
      <c r="E12" s="26"/>
      <c r="F12" s="108"/>
      <c r="G12" s="26"/>
      <c r="H12" s="109"/>
    </row>
    <row r="13" customFormat="false" ht="15.75" hidden="false" customHeight="false" outlineLevel="0" collapsed="false">
      <c r="A13" s="28"/>
      <c r="B13" s="26"/>
      <c r="C13" s="26"/>
      <c r="D13" s="26"/>
      <c r="E13" s="26"/>
      <c r="F13" s="108"/>
      <c r="G13" s="26"/>
      <c r="H13" s="109"/>
    </row>
    <row r="14" customFormat="false" ht="15.75" hidden="false" customHeight="false" outlineLevel="0" collapsed="false">
      <c r="A14" s="28"/>
      <c r="B14" s="26"/>
      <c r="C14" s="26"/>
      <c r="D14" s="26"/>
      <c r="E14" s="26"/>
      <c r="F14" s="108"/>
      <c r="G14" s="26"/>
      <c r="H14" s="109"/>
    </row>
    <row r="15" customFormat="false" ht="15.75" hidden="false" customHeight="false" outlineLevel="0" collapsed="false">
      <c r="A15" s="28"/>
      <c r="B15" s="26"/>
      <c r="C15" s="26"/>
      <c r="D15" s="26"/>
      <c r="E15" s="26"/>
      <c r="F15" s="108"/>
      <c r="G15" s="26"/>
      <c r="H15" s="109"/>
    </row>
    <row r="16" customFormat="false" ht="15.75" hidden="false" customHeight="false" outlineLevel="0" collapsed="false">
      <c r="A16" s="28"/>
      <c r="B16" s="26"/>
      <c r="C16" s="26"/>
      <c r="D16" s="26"/>
      <c r="E16" s="26"/>
      <c r="F16" s="108"/>
      <c r="G16" s="26"/>
      <c r="H16" s="109"/>
    </row>
    <row r="17" customFormat="false" ht="15.75" hidden="false" customHeight="false" outlineLevel="0" collapsed="false">
      <c r="A17" s="28"/>
      <c r="B17" s="26"/>
      <c r="C17" s="26"/>
      <c r="D17" s="26"/>
      <c r="E17" s="26"/>
      <c r="F17" s="108"/>
      <c r="G17" s="26"/>
      <c r="H17" s="109"/>
    </row>
    <row r="18" customFormat="false" ht="15.75" hidden="false" customHeight="false" outlineLevel="0" collapsed="false">
      <c r="A18" s="28"/>
      <c r="B18" s="26"/>
      <c r="C18" s="26"/>
      <c r="D18" s="26"/>
      <c r="E18" s="26"/>
      <c r="F18" s="108"/>
      <c r="G18" s="26"/>
      <c r="H18" s="109"/>
    </row>
    <row r="19" customFormat="false" ht="15.75" hidden="false" customHeight="false" outlineLevel="0" collapsed="false">
      <c r="A19" s="28"/>
      <c r="B19" s="26"/>
      <c r="C19" s="26"/>
      <c r="D19" s="26"/>
      <c r="E19" s="26"/>
      <c r="F19" s="108"/>
      <c r="G19" s="26"/>
      <c r="H19" s="109"/>
    </row>
    <row r="20" customFormat="false" ht="15.75" hidden="false" customHeight="false" outlineLevel="0" collapsed="false">
      <c r="A20" s="28"/>
      <c r="B20" s="26"/>
      <c r="C20" s="26"/>
      <c r="D20" s="26"/>
      <c r="E20" s="26"/>
      <c r="F20" s="108"/>
      <c r="G20" s="26"/>
      <c r="H20" s="109"/>
    </row>
    <row r="21" customFormat="false" ht="15.75" hidden="false" customHeight="false" outlineLevel="0" collapsed="false">
      <c r="A21" s="28"/>
      <c r="B21" s="26"/>
      <c r="C21" s="26"/>
      <c r="D21" s="26"/>
      <c r="E21" s="26"/>
      <c r="F21" s="108"/>
      <c r="G21" s="26"/>
      <c r="H21" s="109"/>
    </row>
    <row r="22" customFormat="false" ht="15.75" hidden="false" customHeight="false" outlineLevel="0" collapsed="false">
      <c r="A22" s="111"/>
      <c r="B22" s="32" t="n">
        <f aca="false">SUM(B3:B21)</f>
        <v>11.5</v>
      </c>
      <c r="C22" s="32" t="n">
        <f aca="false">SUM(C3:C21)</f>
        <v>228562.21</v>
      </c>
      <c r="D22" s="32" t="n">
        <v>33549.1</v>
      </c>
      <c r="E22" s="32" t="n">
        <v>252.25</v>
      </c>
      <c r="F22" s="112" t="n">
        <f aca="false">SUM(B22)/(D22*E22)</f>
        <v>1.35889465783326E-006</v>
      </c>
      <c r="G22" s="32" t="n">
        <f aca="false">SUM(G3:G21)</f>
        <v>3571055.96904</v>
      </c>
      <c r="H22" s="113" t="n">
        <f aca="false">SUM(H3:H21)</f>
        <v>26850.04488</v>
      </c>
      <c r="I22" s="114"/>
    </row>
    <row r="23" customFormat="false" ht="15.75" hidden="false" customHeight="false" outlineLevel="0" collapsed="false">
      <c r="A23" s="19"/>
      <c r="B23" s="115"/>
      <c r="C23" s="115"/>
      <c r="D23" s="101"/>
      <c r="E23" s="101"/>
      <c r="F23" s="101"/>
      <c r="G23" s="115"/>
      <c r="H23" s="101"/>
      <c r="I23" s="114"/>
    </row>
    <row r="24" customFormat="false" ht="15.75" hidden="false" customHeight="false" outlineLevel="0" collapsed="false">
      <c r="A24" s="19"/>
      <c r="B24" s="115"/>
      <c r="C24" s="115"/>
      <c r="D24" s="101"/>
      <c r="E24" s="101"/>
      <c r="F24" s="101"/>
      <c r="G24" s="115"/>
      <c r="H24" s="101"/>
    </row>
    <row r="25" customFormat="false" ht="15.75" hidden="false" customHeight="false" outlineLevel="0" collapsed="false">
      <c r="A25" s="19"/>
      <c r="B25" s="115"/>
      <c r="C25" s="115"/>
      <c r="D25" s="101"/>
      <c r="E25" s="101"/>
      <c r="F25" s="101"/>
      <c r="G25" s="115"/>
      <c r="H25" s="101"/>
    </row>
    <row r="26" customFormat="false" ht="15.75" hidden="false" customHeight="false" outlineLevel="0" collapsed="false">
      <c r="A26" s="19"/>
      <c r="B26" s="101"/>
      <c r="C26" s="101"/>
      <c r="D26" s="101"/>
      <c r="E26" s="101"/>
      <c r="F26" s="101"/>
      <c r="G26" s="101"/>
      <c r="H26" s="101"/>
    </row>
    <row r="27" customFormat="false" ht="15.75" hidden="false" customHeight="false" outlineLevel="0" collapsed="false">
      <c r="A27" s="101"/>
      <c r="B27" s="101"/>
      <c r="C27" s="101"/>
      <c r="D27" s="101"/>
      <c r="E27" s="101"/>
      <c r="F27" s="101"/>
      <c r="G27" s="101"/>
      <c r="H27" s="116"/>
    </row>
    <row r="28" customFormat="false" ht="15.75" hidden="false" customHeight="false" outlineLevel="0" collapsed="false">
      <c r="A28" s="17" t="s">
        <v>125</v>
      </c>
      <c r="B28" s="117"/>
      <c r="C28" s="117"/>
      <c r="D28" s="117"/>
      <c r="E28" s="117"/>
      <c r="F28" s="117"/>
      <c r="G28" s="117"/>
      <c r="H28" s="118" t="n">
        <f aca="false">H22</f>
        <v>26850.04488</v>
      </c>
    </row>
  </sheetData>
  <mergeCells count="1">
    <mergeCell ref="A1:H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8" man="true" max="65535" min="0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31"/>
  <sheetViews>
    <sheetView showFormulas="false" showGridLines="true" showRowColHeaders="true" showZeros="true" rightToLeft="false" tabSelected="false" showOutlineSymbols="true" defaultGridColor="true" view="normal" topLeftCell="C5" colorId="64" zoomScale="100" zoomScaleNormal="100" zoomScalePageLayoutView="100" workbookViewId="0">
      <selection pane="topLeft" activeCell="A19" activeCellId="0" sqref="A19"/>
    </sheetView>
  </sheetViews>
  <sheetFormatPr defaultRowHeight="15" zeroHeight="false" outlineLevelRow="0" outlineLevelCol="0"/>
  <cols>
    <col collapsed="false" customWidth="true" hidden="false" outlineLevel="0" max="1" min="1" style="77" width="54.14"/>
    <col collapsed="false" customWidth="true" hidden="false" outlineLevel="0" max="2" min="2" style="77" width="10.29"/>
    <col collapsed="false" customWidth="true" hidden="false" outlineLevel="0" max="3" min="3" style="77" width="11.14"/>
    <col collapsed="false" customWidth="true" hidden="false" outlineLevel="0" max="6" min="4" style="77" width="9.85"/>
    <col collapsed="false" customWidth="true" hidden="false" outlineLevel="0" max="7" min="7" style="77" width="9.42"/>
    <col collapsed="false" customWidth="true" hidden="false" outlineLevel="0" max="9" min="8" style="77" width="9.71"/>
    <col collapsed="false" customWidth="true" hidden="false" outlineLevel="0" max="11" min="10" style="77" width="10.85"/>
    <col collapsed="false" customWidth="true" hidden="false" outlineLevel="0" max="12" min="12" style="77" width="19"/>
    <col collapsed="false" customWidth="true" hidden="false" outlineLevel="0" max="13" min="13" style="77" width="12.29"/>
    <col collapsed="false" customWidth="true" hidden="false" outlineLevel="0" max="14" min="14" style="77" width="11.86"/>
    <col collapsed="false" customWidth="true" hidden="false" outlineLevel="0" max="15" min="15" style="77" width="16.29"/>
    <col collapsed="false" customWidth="true" hidden="false" outlineLevel="0" max="16" min="16" style="77" width="18.71"/>
    <col collapsed="false" customWidth="true" hidden="false" outlineLevel="0" max="17" min="17" style="77" width="11.14"/>
    <col collapsed="false" customWidth="true" hidden="false" outlineLevel="0" max="1025" min="18" style="77" width="9.13"/>
  </cols>
  <sheetData>
    <row r="1" customFormat="false" ht="15.75" hidden="false" customHeight="false" outlineLevel="0" collapsed="false">
      <c r="A1" s="119" t="s">
        <v>126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customFormat="false" ht="32.25" hidden="false" customHeight="true" outlineLevel="0" collapsed="false">
      <c r="A2" s="120" t="s">
        <v>127</v>
      </c>
      <c r="B2" s="120" t="s">
        <v>128</v>
      </c>
      <c r="C2" s="120"/>
      <c r="D2" s="120"/>
      <c r="E2" s="121" t="s">
        <v>129</v>
      </c>
      <c r="F2" s="121"/>
      <c r="G2" s="121"/>
      <c r="H2" s="121"/>
      <c r="I2" s="121"/>
      <c r="J2" s="121"/>
      <c r="K2" s="121"/>
      <c r="L2" s="120" t="s">
        <v>130</v>
      </c>
      <c r="M2" s="122" t="s">
        <v>131</v>
      </c>
      <c r="N2" s="123" t="s">
        <v>132</v>
      </c>
      <c r="O2" s="124" t="s">
        <v>133</v>
      </c>
      <c r="P2" s="124" t="s">
        <v>134</v>
      </c>
    </row>
    <row r="3" customFormat="false" ht="31.5" hidden="false" customHeight="false" outlineLevel="0" collapsed="false">
      <c r="A3" s="120"/>
      <c r="B3" s="125" t="s">
        <v>135</v>
      </c>
      <c r="C3" s="126" t="s">
        <v>136</v>
      </c>
      <c r="D3" s="127" t="s">
        <v>137</v>
      </c>
      <c r="E3" s="128" t="s">
        <v>138</v>
      </c>
      <c r="F3" s="126" t="s">
        <v>139</v>
      </c>
      <c r="G3" s="126" t="s">
        <v>140</v>
      </c>
      <c r="H3" s="126" t="s">
        <v>141</v>
      </c>
      <c r="I3" s="126" t="s">
        <v>142</v>
      </c>
      <c r="J3" s="126" t="s">
        <v>143</v>
      </c>
      <c r="K3" s="127" t="s">
        <v>144</v>
      </c>
      <c r="L3" s="120"/>
      <c r="M3" s="122"/>
      <c r="N3" s="123"/>
      <c r="O3" s="124"/>
      <c r="P3" s="124"/>
    </row>
    <row r="4" customFormat="false" ht="32.25" hidden="false" customHeight="true" outlineLevel="0" collapsed="false">
      <c r="A4" s="129" t="n">
        <v>1</v>
      </c>
      <c r="B4" s="130" t="n">
        <v>2</v>
      </c>
      <c r="C4" s="131" t="n">
        <v>3</v>
      </c>
      <c r="D4" s="132" t="n">
        <v>4</v>
      </c>
      <c r="E4" s="133" t="n">
        <v>5</v>
      </c>
      <c r="F4" s="131" t="n">
        <v>6</v>
      </c>
      <c r="G4" s="131" t="n">
        <v>7</v>
      </c>
      <c r="H4" s="131" t="n">
        <v>8</v>
      </c>
      <c r="I4" s="131" t="n">
        <v>9</v>
      </c>
      <c r="J4" s="131" t="n">
        <v>10</v>
      </c>
      <c r="K4" s="132" t="n">
        <v>11</v>
      </c>
      <c r="L4" s="134" t="s">
        <v>145</v>
      </c>
      <c r="M4" s="135" t="n">
        <v>13</v>
      </c>
      <c r="N4" s="136" t="s">
        <v>146</v>
      </c>
      <c r="O4" s="137" t="n">
        <v>15</v>
      </c>
      <c r="P4" s="137" t="n">
        <v>16</v>
      </c>
    </row>
    <row r="5" customFormat="false" ht="63" hidden="false" customHeight="false" outlineLevel="0" collapsed="false">
      <c r="A5" s="138" t="s">
        <v>55</v>
      </c>
      <c r="B5" s="139" t="n">
        <f aca="false">'Заработная плата'!H15</f>
        <v>51458.680392</v>
      </c>
      <c r="C5" s="140" t="n">
        <f aca="false">SUM('Материальные затраты и ОЦДИ'!B7)</f>
        <v>800</v>
      </c>
      <c r="D5" s="141" t="n">
        <v>0</v>
      </c>
      <c r="E5" s="142" t="n">
        <f aca="false">SUM('Оплата КУ'!N10)</f>
        <v>3849.74034525</v>
      </c>
      <c r="F5" s="140" t="n">
        <f aca="false">SUM('Содержание объектов недв.имущ.'!H18)</f>
        <v>1505.95659</v>
      </c>
      <c r="G5" s="140" t="n">
        <f aca="false">SUM('Содержание объектов,связь, тран'!I5)</f>
        <v>29.2497971605458</v>
      </c>
      <c r="H5" s="140" t="n">
        <f aca="false">SUM('Содержание объектов,связь, тран'!I13)</f>
        <v>13.0337096147392</v>
      </c>
      <c r="I5" s="140" t="n">
        <f aca="false">SUM('Содержание объектов,связь, тран'!I20)</f>
        <v>240.684045206777</v>
      </c>
      <c r="J5" s="140" t="n">
        <f aca="false">SUM('Зп не связ. с оказ.услуги '!H28)</f>
        <v>26850.04488</v>
      </c>
      <c r="K5" s="141" t="n">
        <f aca="false">SUM('Прочие общехозяйственные нужды'!B7)</f>
        <v>666.666666666667</v>
      </c>
      <c r="L5" s="143" t="n">
        <f aca="false">B5+C5+D5+E5+F5+G5+H5+I5+J5+K5</f>
        <v>85414.0564258987</v>
      </c>
      <c r="M5" s="135" t="n">
        <v>40</v>
      </c>
      <c r="N5" s="136" t="n">
        <f aca="false">SUM(L5*M5)</f>
        <v>3416562.25703595</v>
      </c>
      <c r="O5" s="137" t="n">
        <v>40</v>
      </c>
      <c r="P5" s="137" t="n">
        <f aca="false">SUM(B5+C5+D5+G5+H5+I5+J5+K5)*40+(E5+F5)*40</f>
        <v>3416562.25703595</v>
      </c>
    </row>
    <row r="6" customFormat="false" ht="63" hidden="false" customHeight="false" outlineLevel="0" collapsed="false">
      <c r="A6" s="144" t="s">
        <v>63</v>
      </c>
      <c r="B6" s="139" t="n">
        <f aca="false">'Заработная плата'!H15</f>
        <v>51458.680392</v>
      </c>
      <c r="C6" s="140" t="n">
        <f aca="false">SUM('Материальные затраты и ОЦДИ'!B7)</f>
        <v>800</v>
      </c>
      <c r="D6" s="141" t="n">
        <v>0</v>
      </c>
      <c r="E6" s="145" t="n">
        <f aca="false">SUM('Оплата КУ'!N16)</f>
        <v>3737.27268666667</v>
      </c>
      <c r="F6" s="107" t="n">
        <f aca="false">SUM('Содержание объектов недв.имущ.'!H37)</f>
        <v>1487.36453333333</v>
      </c>
      <c r="G6" s="140" t="n">
        <f aca="false">SUM('Содержание объектов,связь, тран'!I5)</f>
        <v>29.2497971605458</v>
      </c>
      <c r="H6" s="140" t="n">
        <f aca="false">SUM('Содержание объектов,связь, тран'!I13)</f>
        <v>13.0337096147392</v>
      </c>
      <c r="I6" s="140" t="n">
        <f aca="false">SUM('Содержание объектов,связь, тран'!I20)</f>
        <v>240.684045206777</v>
      </c>
      <c r="J6" s="140" t="n">
        <f aca="false">SUM('Зп не связ. с оказ.услуги '!H28)</f>
        <v>26850.04488</v>
      </c>
      <c r="K6" s="141" t="n">
        <f aca="false">SUM('Прочие общехозяйственные нужды'!B7)</f>
        <v>666.666666666667</v>
      </c>
      <c r="L6" s="143" t="n">
        <f aca="false">B6+C6+D6+E6+F6+G6+H6+I6+J6+K6</f>
        <v>85282.9967106487</v>
      </c>
      <c r="M6" s="135" t="n">
        <v>30</v>
      </c>
      <c r="N6" s="136" t="n">
        <f aca="false">SUM(L6*M6)</f>
        <v>2558489.90131946</v>
      </c>
      <c r="O6" s="137" t="n">
        <v>30</v>
      </c>
      <c r="P6" s="137" t="n">
        <f aca="false">SUM(B6+C6+D6+G6+H6+I6+J6+K6)*30+(E6+F6)*30</f>
        <v>2558489.90131946</v>
      </c>
    </row>
    <row r="7" customFormat="false" ht="63" hidden="false" customHeight="false" outlineLevel="0" collapsed="false">
      <c r="A7" s="144" t="s">
        <v>64</v>
      </c>
      <c r="B7" s="139" t="n">
        <f aca="false">'Заработная плата'!H15</f>
        <v>51458.680392</v>
      </c>
      <c r="C7" s="140" t="n">
        <f aca="false">SUM('Материальные затраты и ОЦДИ'!B7)</f>
        <v>800</v>
      </c>
      <c r="D7" s="141" t="n">
        <v>0</v>
      </c>
      <c r="E7" s="145" t="n">
        <f aca="false">SUM('Оплата КУ'!N22)</f>
        <v>4277.4892725</v>
      </c>
      <c r="F7" s="107" t="n">
        <f aca="false">SUM('Содержание объектов недв.имущ.'!H56)</f>
        <v>1673.2851</v>
      </c>
      <c r="G7" s="140" t="n">
        <f aca="false">SUM('Содержание объектов,связь, тран'!I5)</f>
        <v>29.2497971605458</v>
      </c>
      <c r="H7" s="140" t="n">
        <f aca="false">SUM('Содержание объектов,связь, тран'!I13)</f>
        <v>13.0337096147392</v>
      </c>
      <c r="I7" s="140" t="n">
        <f aca="false">SUM('Содержание объектов,связь, тран'!I20)</f>
        <v>240.684045206777</v>
      </c>
      <c r="J7" s="140" t="n">
        <f aca="false">SUM('Зп не связ. с оказ.услуги '!H28)</f>
        <v>26850.04488</v>
      </c>
      <c r="K7" s="141" t="n">
        <f aca="false">SUM('Прочие общехозяйственные нужды'!B7)</f>
        <v>666.666666666667</v>
      </c>
      <c r="L7" s="143" t="n">
        <f aca="false">B7+C7+D7+E7+F7+G7+H7+I7+J7+K7</f>
        <v>86009.1338631487</v>
      </c>
      <c r="M7" s="135" t="n">
        <v>4</v>
      </c>
      <c r="N7" s="136" t="n">
        <f aca="false">SUM(L7*M7)</f>
        <v>344036.535452595</v>
      </c>
      <c r="O7" s="137" t="n">
        <v>4</v>
      </c>
      <c r="P7" s="137" t="n">
        <f aca="false">SUM(B7+C7+D7+G7+H7+I7+J7+K7)*4+(E7+F7)*4</f>
        <v>344036.535452595</v>
      </c>
    </row>
    <row r="8" customFormat="false" ht="31.5" hidden="false" customHeight="false" outlineLevel="0" collapsed="false">
      <c r="A8" s="144" t="s">
        <v>147</v>
      </c>
      <c r="B8" s="139" t="n">
        <f aca="false">'Заработная плата'!H15</f>
        <v>51458.680392</v>
      </c>
      <c r="C8" s="140" t="n">
        <f aca="false">SUM('Материальные затраты и ОЦДИ'!B7)</f>
        <v>800</v>
      </c>
      <c r="D8" s="141" t="n">
        <v>0</v>
      </c>
      <c r="E8" s="145" t="n">
        <f aca="false">SUM('Оплата КУ'!N28)</f>
        <v>3802.21268666667</v>
      </c>
      <c r="F8" s="107" t="n">
        <f aca="false">SUM('Содержание объектов недв.имущ.'!H75)</f>
        <v>1487.36453333333</v>
      </c>
      <c r="G8" s="140" t="n">
        <f aca="false">SUM('Содержание объектов,связь, тран'!I5)</f>
        <v>29.2497971605458</v>
      </c>
      <c r="H8" s="140" t="n">
        <f aca="false">SUM('Содержание объектов,связь, тран'!I13)</f>
        <v>13.0337096147392</v>
      </c>
      <c r="I8" s="140" t="n">
        <f aca="false">SUM('Содержание объектов,связь, тран'!I20)</f>
        <v>240.684045206777</v>
      </c>
      <c r="J8" s="140" t="n">
        <f aca="false">SUM('Зп не связ. с оказ.услуги '!H28)</f>
        <v>26850.04488</v>
      </c>
      <c r="K8" s="141" t="n">
        <f aca="false">SUM('Прочие общехозяйственные нужды'!B7)</f>
        <v>666.666666666667</v>
      </c>
      <c r="L8" s="143" t="n">
        <f aca="false">B8+C8+D8+E8+F8+G8+H8+I8+J8+K8</f>
        <v>85347.9367106487</v>
      </c>
      <c r="M8" s="135" t="n">
        <v>27</v>
      </c>
      <c r="N8" s="136" t="n">
        <f aca="false">SUM(L8*M8)</f>
        <v>2304394.29118752</v>
      </c>
      <c r="O8" s="137" t="n">
        <v>17</v>
      </c>
      <c r="P8" s="137" t="n">
        <f aca="false">SUM(B8+C8+D8+G8+H8+I8+J8+K8)*27+(E8+F8)*17</f>
        <v>2251498.51898752</v>
      </c>
    </row>
    <row r="9" customFormat="false" ht="47.25" hidden="false" customHeight="false" outlineLevel="0" collapsed="false">
      <c r="A9" s="146" t="s">
        <v>66</v>
      </c>
      <c r="B9" s="147" t="n">
        <f aca="false">'Заработная плата'!H15</f>
        <v>51458.680392</v>
      </c>
      <c r="C9" s="148" t="n">
        <f aca="false">SUM('Материальные затраты и ОЦДИ'!B7)</f>
        <v>800</v>
      </c>
      <c r="D9" s="141" t="n">
        <v>0</v>
      </c>
      <c r="E9" s="149" t="n">
        <f aca="false">SUM('Оплата КУ'!N34)</f>
        <v>3421.991418</v>
      </c>
      <c r="F9" s="150" t="n">
        <f aca="false">SUM('Содержание объектов недв.имущ.'!H94)</f>
        <v>1278.38808</v>
      </c>
      <c r="G9" s="148" t="n">
        <f aca="false">SUM('Содержание объектов,связь, тран'!I5)</f>
        <v>29.2497971605458</v>
      </c>
      <c r="H9" s="148" t="n">
        <f aca="false">SUM('Содержание объектов,связь, тран'!I13)</f>
        <v>13.0337096147392</v>
      </c>
      <c r="I9" s="148" t="n">
        <f aca="false">SUM('Содержание объектов,связь, тран'!I20)</f>
        <v>240.684045206777</v>
      </c>
      <c r="J9" s="148" t="n">
        <f aca="false">SUM('Зп не связ. с оказ.услуги '!H28)</f>
        <v>26850.04488</v>
      </c>
      <c r="K9" s="151" t="n">
        <f aca="false">SUM('Прочие общехозяйственные нужды'!B7)</f>
        <v>666.666666666667</v>
      </c>
      <c r="L9" s="143" t="n">
        <f aca="false">B9+C9+D9+E9+F9+G9+H9+I9+J9+K9</f>
        <v>84758.7389886487</v>
      </c>
      <c r="M9" s="152" t="n">
        <v>5</v>
      </c>
      <c r="N9" s="136" t="n">
        <f aca="false">SUM(L9*M9)</f>
        <v>423793.694943244</v>
      </c>
      <c r="O9" s="153" t="n">
        <v>2</v>
      </c>
      <c r="P9" s="153" t="n">
        <f aca="false">SUM(B9+C9+D9+G9+H9+I9+J9+K9)*5+(E9+F9)*2</f>
        <v>409692.556449244</v>
      </c>
    </row>
    <row r="10" customFormat="false" ht="31.5" hidden="false" customHeight="false" outlineLevel="0" collapsed="false">
      <c r="A10" s="144" t="s">
        <v>67</v>
      </c>
      <c r="B10" s="139" t="n">
        <f aca="false">'Заработная плата'!H15</f>
        <v>51458.680392</v>
      </c>
      <c r="C10" s="140" t="n">
        <f aca="false">'Материальные затраты и ОЦДИ'!B7</f>
        <v>800</v>
      </c>
      <c r="D10" s="141" t="n">
        <v>0</v>
      </c>
      <c r="E10" s="145" t="n">
        <f aca="false">'Оплата КУ'!N40</f>
        <v>3802.21268666667</v>
      </c>
      <c r="F10" s="107" t="n">
        <f aca="false">'Содержание объектов недв.имущ.'!H113</f>
        <v>1420.4312</v>
      </c>
      <c r="G10" s="140" t="n">
        <f aca="false">'Содержание объектов,связь, тран'!I5</f>
        <v>29.2497971605458</v>
      </c>
      <c r="H10" s="140" t="n">
        <f aca="false">'Содержание объектов,связь, тран'!I13</f>
        <v>13.0337096147392</v>
      </c>
      <c r="I10" s="140" t="n">
        <f aca="false">'Содержание объектов,связь, тран'!I20</f>
        <v>240.684045206777</v>
      </c>
      <c r="J10" s="140" t="n">
        <f aca="false">'Зп не связ. с оказ.услуги '!H28</f>
        <v>26850.04488</v>
      </c>
      <c r="K10" s="141" t="n">
        <f aca="false">'Прочие общехозяйственные нужды'!B7</f>
        <v>666.666666666667</v>
      </c>
      <c r="L10" s="143" t="n">
        <f aca="false">B10+C10+D10+E10+F10+G10+H10+I10+J10+K10</f>
        <v>85281.0033773154</v>
      </c>
      <c r="M10" s="83" t="n">
        <v>24</v>
      </c>
      <c r="N10" s="136" t="n">
        <f aca="false">SUM(L10*M10)</f>
        <v>2046744.08105557</v>
      </c>
      <c r="O10" s="83" t="n">
        <v>24</v>
      </c>
      <c r="P10" s="153" t="n">
        <f aca="false">SUM(B10+C10+D10+G10+H10+I10+J10+K10)*24+(E10+F10)*24</f>
        <v>2046744.08105557</v>
      </c>
    </row>
    <row r="11" customFormat="false" ht="47.25" hidden="false" customHeight="false" outlineLevel="0" collapsed="false">
      <c r="A11" s="144" t="s">
        <v>68</v>
      </c>
      <c r="B11" s="139" t="n">
        <f aca="false">'Заработная плата'!H15</f>
        <v>51458.680392</v>
      </c>
      <c r="C11" s="140" t="n">
        <f aca="false">'Материальные затраты и ОЦДИ'!B7</f>
        <v>800</v>
      </c>
      <c r="D11" s="141" t="n">
        <v>0</v>
      </c>
      <c r="E11" s="145" t="n">
        <f aca="false">'Оплата КУ'!N46</f>
        <v>3564.57439375</v>
      </c>
      <c r="F11" s="107" t="n">
        <f aca="false">'Содержание объектов недв.имущ.'!H132</f>
        <v>1331.65425</v>
      </c>
      <c r="G11" s="140" t="n">
        <f aca="false">'Содержание объектов,связь, тран'!I5</f>
        <v>29.2497971605458</v>
      </c>
      <c r="H11" s="140" t="n">
        <f aca="false">'Содержание объектов,связь, тран'!I13</f>
        <v>13.0337096147392</v>
      </c>
      <c r="I11" s="140" t="n">
        <f aca="false">'Содержание объектов,связь, тран'!I20</f>
        <v>240.684045206777</v>
      </c>
      <c r="J11" s="140" t="n">
        <f aca="false">'Зп не связ. с оказ.услуги '!H28</f>
        <v>26850.04488</v>
      </c>
      <c r="K11" s="141" t="n">
        <f aca="false">'Прочие общехозяйственные нужды'!B7</f>
        <v>666.666666666667</v>
      </c>
      <c r="L11" s="143" t="n">
        <f aca="false">B11+C11+D11+E11+F11+G11+H11+I11+J11+K11</f>
        <v>84954.5881343988</v>
      </c>
      <c r="M11" s="83" t="n">
        <v>8</v>
      </c>
      <c r="N11" s="136" t="n">
        <f aca="false">SUM(L11*M11)</f>
        <v>679636.70507519</v>
      </c>
      <c r="O11" s="83" t="n">
        <v>6</v>
      </c>
      <c r="P11" s="153" t="n">
        <f aca="false">SUM(B11+C11+D11+G11+H11+I11+J11+K11)*8+(E11+F11)*6</f>
        <v>669844.24778769</v>
      </c>
    </row>
    <row r="12" customFormat="false" ht="47.25" hidden="false" customHeight="false" outlineLevel="0" collapsed="false">
      <c r="A12" s="154" t="s">
        <v>69</v>
      </c>
      <c r="B12" s="155" t="n">
        <f aca="false">'Заработная плата'!H15</f>
        <v>51458.680392</v>
      </c>
      <c r="C12" s="156" t="n">
        <f aca="false">'Материальные затраты и ОЦДИ'!B7</f>
        <v>800</v>
      </c>
      <c r="D12" s="157" t="n">
        <v>0</v>
      </c>
      <c r="E12" s="158" t="n">
        <f aca="false">'Оплата КУ'!N52</f>
        <v>3802.21268666667</v>
      </c>
      <c r="F12" s="159" t="n">
        <f aca="false">'Содержание объектов недв.имущ.'!H151</f>
        <v>1420.4312</v>
      </c>
      <c r="G12" s="156" t="n">
        <f aca="false">'Содержание объектов,связь, тран'!I5</f>
        <v>29.2497971605458</v>
      </c>
      <c r="H12" s="156" t="n">
        <f aca="false">'Содержание объектов,связь, тран'!I13</f>
        <v>13.0337096147392</v>
      </c>
      <c r="I12" s="156" t="n">
        <f aca="false">'Содержание объектов,связь, тран'!I20</f>
        <v>240.684045206777</v>
      </c>
      <c r="J12" s="156" t="n">
        <f aca="false">'Зп не связ. с оказ.услуги '!H28</f>
        <v>26850.04488</v>
      </c>
      <c r="K12" s="157" t="n">
        <f aca="false">'Прочие общехозяйственные нужды'!B7</f>
        <v>666.666666666667</v>
      </c>
      <c r="L12" s="143" t="n">
        <f aca="false">B12+C12+D12+E12+F12+G12+H12+I12+J12+K12</f>
        <v>85281.0033773154</v>
      </c>
      <c r="M12" s="160" t="n">
        <v>12</v>
      </c>
      <c r="N12" s="161" t="n">
        <f aca="false">SUM(L12*M12)</f>
        <v>1023372.04052778</v>
      </c>
      <c r="O12" s="160" t="n">
        <v>10</v>
      </c>
      <c r="P12" s="153" t="n">
        <f aca="false">SUM(B12+C12+D12+G12+H12+I12+J12+K12)*12+(E12+F12)*10</f>
        <v>1012926.75275445</v>
      </c>
    </row>
    <row r="13" customFormat="false" ht="15.75" hidden="false" customHeight="false" outlineLevel="0" collapsed="false">
      <c r="A13" s="19"/>
      <c r="B13" s="162"/>
      <c r="C13" s="163"/>
      <c r="D13" s="163"/>
      <c r="E13" s="164"/>
      <c r="F13" s="164"/>
      <c r="G13" s="163"/>
      <c r="H13" s="163"/>
      <c r="I13" s="163"/>
      <c r="J13" s="163"/>
      <c r="K13" s="163"/>
      <c r="L13" s="165"/>
      <c r="M13" s="166"/>
      <c r="N13" s="167"/>
      <c r="O13" s="167"/>
      <c r="P13" s="168"/>
    </row>
    <row r="14" customFormat="false" ht="15" hidden="false" customHeight="false" outlineLevel="0" collapsed="false">
      <c r="L14" s="169"/>
      <c r="M14" s="170" t="n">
        <f aca="false">SUM(M5:M12)</f>
        <v>150</v>
      </c>
      <c r="N14" s="171" t="n">
        <f aca="false">SUM(N5:N12)</f>
        <v>12797029.5065973</v>
      </c>
      <c r="O14" s="172" t="n">
        <v>133</v>
      </c>
      <c r="P14" s="173" t="n">
        <f aca="false">SUM(P5:P9)</f>
        <v>8980279.76924477</v>
      </c>
    </row>
    <row r="15" customFormat="false" ht="15.75" hidden="false" customHeight="false" outlineLevel="0" collapsed="false">
      <c r="A15" s="19" t="s">
        <v>148</v>
      </c>
      <c r="B15" s="162"/>
      <c r="C15" s="101"/>
      <c r="D15" s="101"/>
      <c r="E15" s="101"/>
      <c r="F15" s="101"/>
      <c r="G15" s="101"/>
      <c r="H15" s="101"/>
      <c r="I15" s="101"/>
      <c r="J15" s="101"/>
      <c r="K15" s="101"/>
      <c r="L15" s="165"/>
      <c r="M15" s="101"/>
      <c r="N15" s="101"/>
      <c r="O15" s="101"/>
      <c r="P15" s="101" t="n">
        <f aca="false">SUM(P14/N14)</f>
        <v>0.70174721130518</v>
      </c>
    </row>
    <row r="16" customFormat="false" ht="15.75" hidden="false" customHeight="false" outlineLevel="0" collapsed="false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74"/>
    </row>
    <row r="17" customFormat="false" ht="15" hidden="false" customHeight="true" outlineLevel="0" collapsed="false">
      <c r="A17" s="19" t="s">
        <v>149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customFormat="false" ht="15.75" hidden="false" customHeight="false" outlineLevel="0" collapsed="false">
      <c r="A18" s="101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 t="n">
        <v>0.7</v>
      </c>
    </row>
    <row r="19" customFormat="false" ht="15.75" hidden="false" customHeight="false" outlineLevel="0" collapsed="false">
      <c r="A19" s="101" t="s">
        <v>150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 t="n">
        <v>0.92</v>
      </c>
    </row>
    <row r="20" customFormat="false" ht="15" hidden="false" customHeight="false" outlineLevel="0" collapsed="false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 t="n">
        <v>8261.6</v>
      </c>
    </row>
    <row r="21" customFormat="false" ht="43.5" hidden="false" customHeight="true" outlineLevel="0" collapsed="false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</row>
    <row r="31" customFormat="false" ht="15" hidden="false" customHeight="false" outlineLevel="0" collapsed="false">
      <c r="L31" s="77" t="n">
        <v>6</v>
      </c>
    </row>
  </sheetData>
  <mergeCells count="11">
    <mergeCell ref="A1:L1"/>
    <mergeCell ref="A2:A3"/>
    <mergeCell ref="B2:D2"/>
    <mergeCell ref="E2:K2"/>
    <mergeCell ref="L2:L3"/>
    <mergeCell ref="M2:M3"/>
    <mergeCell ref="N2:N3"/>
    <mergeCell ref="O2:O3"/>
    <mergeCell ref="P2:P3"/>
    <mergeCell ref="A17:P17"/>
    <mergeCell ref="A21:P2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2018-12-12T15:25:39Z</cp:lastPrinted>
  <dcterms:modified xsi:type="dcterms:W3CDTF">2018-12-12T15:10:05Z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